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Norris\Charter Schools - FYE 2020\Owl Charter Inc\Work in Process\"/>
    </mc:Choice>
  </mc:AlternateContent>
  <xr:revisionPtr revIDLastSave="0" documentId="13_ncr:1_{B539513A-153E-4839-A92F-F783D533F253}" xr6:coauthVersionLast="44" xr6:coauthVersionMax="44" xr10:uidLastSave="{00000000-0000-0000-0000-000000000000}"/>
  <bookViews>
    <workbookView xWindow="-120" yWindow="-120" windowWidth="29040" windowHeight="15840" tabRatio="694" firstSheet="1" activeTab="1" xr2:uid="{00000000-000D-0000-FFFF-FFFF00000000}"/>
  </bookViews>
  <sheets>
    <sheet name="Table Index" sheetId="6" r:id="rId1"/>
    <sheet name="For MD&amp;A" sheetId="5" r:id="rId2"/>
    <sheet name="Govt Wide - Fund Recon" sheetId="1" r:id="rId3"/>
    <sheet name="Capital Assets" sheetId="2" r:id="rId4"/>
    <sheet name="Long-Term Obligations" sheetId="3" r:id="rId5"/>
    <sheet name="Other Tables" sheetId="4" r:id="rId6"/>
  </sheets>
  <definedNames>
    <definedName name="Apex_Cap_Lease_Sch">'Long-Term Obligations'!#REF!</definedName>
    <definedName name="Asset_Useful_Life_Table_I.E.4">'Capital Assets'!$F$5:$G$10</definedName>
    <definedName name="Bunn_Deprec_by_Program">'Capital Assets'!$F$85:$G$88</definedName>
    <definedName name="Bunn_Govt_Capital_Assets">'Capital Assets'!$B$33:$J$48</definedName>
    <definedName name="Capital_Lease_Table">'Long-Term Obligations'!$B$35:$F$48</definedName>
    <definedName name="Cary_BTA_Capital_Assets">'Capital Assets'!$B$164:$J$189</definedName>
    <definedName name="Cary_Deprec_by_Program">'Capital Assets'!$F$90:$G$98</definedName>
    <definedName name="Cary_Govt_Cap_assets">'Capital Assets'!$C$49:$J$64</definedName>
    <definedName name="Depr_A_CC">'Capital Assets'!$AC$125:$AK$135</definedName>
    <definedName name="Depr_A_SFS">'Capital Assets'!$AC$110:$AK$123</definedName>
    <definedName name="Depr_B_CC">'Capital Assets'!$AC$152:$AK$162</definedName>
    <definedName name="Depr_B_SFS">'Capital Assets'!$AC$137:$AK$149</definedName>
    <definedName name="Depr_C_CC">'Capital Assets'!$AC$183:$AK$193</definedName>
    <definedName name="Depr_C_SFS">'Capital Assets'!$AC$164:$AK$178</definedName>
    <definedName name="Depr_Gov_by_Program">'Capital Assets'!$F$100:$J$103</definedName>
    <definedName name="Depreciation_by_Program_Table">'Capital Assets'!$F$81:$G$83</definedName>
    <definedName name="Discite_Govt_Capital_Assets">'Capital Assets'!$B$49:$J$64</definedName>
    <definedName name="Doceo_BTA_Cap_Assets">'Capital Assets'!$B$108:$J$136</definedName>
    <definedName name="Doceo_Depr_by_Prog">'Capital Assets'!$F$80:$G$83</definedName>
    <definedName name="Doceo_Gov_Cap_Asset">'Capital Assets'!$B$14:$J$32</definedName>
    <definedName name="Encumbrances_Note">'Other Tables'!$G$13:$H$15</definedName>
    <definedName name="Erudio_BTA_CapitaL_Assets">'Capital Assets'!$B$137:$J$163</definedName>
    <definedName name="Erudio_CC_Assets">'Capital Assets'!$B$151:$J$163</definedName>
    <definedName name="Erudio_Gov_Cap_Assets">'Capital Assets'!$B$33:$J$48</definedName>
    <definedName name="Erudio_SFS_Cap_Assets">'Capital Assets'!$B$137:$J$150</definedName>
    <definedName name="Figure_2">'For MD&amp;A'!$A$5:$G$23</definedName>
    <definedName name="Figure_3">'For MD&amp;A'!$A$31:$G$60</definedName>
    <definedName name="Figure_4">'For MD&amp;A'!$A$69:$G$78</definedName>
    <definedName name="Figure_5">'For MD&amp;A'!$A$86:$G$95</definedName>
    <definedName name="Head_Cap_Assets_Schedule">'Capital Assets'!$B$108:$J$109</definedName>
    <definedName name="Interfund_Balance_Note">'Other Tables'!$K$5:$L$5</definedName>
    <definedName name="LT_Debt_by_School">'Long-Term Obligations'!$R$4:$X$16</definedName>
    <definedName name="Payment_by_School">'Long-Term Obligations'!$B$71:$E$82</definedName>
    <definedName name="_xlnm.Print_Area" localSheetId="3">'Capital Assets'!$B$178:$K$190</definedName>
    <definedName name="Remaining_Fund_Balance">'Other Tables'!$B$13:$D$18</definedName>
    <definedName name="Table_BTA_Capital_Assets">'Capital Assets'!$B$108:$J$135</definedName>
    <definedName name="Table_Capital_Lease_Assets">'Long-Term Obligations'!$B$25:$E$31</definedName>
    <definedName name="Table_Capital_Lease_Minimum_Pymts">'Long-Term Obligations'!$B$35:$F$48</definedName>
    <definedName name="Table_Deferred_Inflows">'Other Tables'!$B$25:$D$27</definedName>
    <definedName name="Table_Govt_Capital_Assets">'Capital Assets'!$B$14:$J$33</definedName>
    <definedName name="Table_I.E.9.a">'Govt Wide - Fund Recon'!$B$5:$D$14</definedName>
    <definedName name="Table_I.E.9.b">'Govt Wide - Fund Recon'!$B$24:$D$33</definedName>
    <definedName name="Table_Long_Term_Debt">'Long-Term Obligations'!$H$5:$M$17</definedName>
    <definedName name="Table_Revenue_Bond_Amortization">'Long-Term Obligations'!$B$56:$D$67</definedName>
    <definedName name="Table_Revenue_Bond_Covenant_Calc">'Long-Term Obligations'!$P$88:$Q$97</definedName>
    <definedName name="Total_business_type_capital_assets__net">'Capital Assets'!$AE$178:$AK$178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" i="5" l="1"/>
  <c r="D100" i="5"/>
  <c r="B100" i="5"/>
  <c r="F99" i="5"/>
  <c r="D99" i="5"/>
  <c r="B99" i="5"/>
  <c r="H55" i="5"/>
  <c r="H56" i="5"/>
  <c r="H53" i="5"/>
  <c r="H52" i="5"/>
  <c r="H51" i="5"/>
  <c r="H50" i="5"/>
  <c r="H49" i="5"/>
  <c r="H48" i="5"/>
  <c r="H47" i="5"/>
  <c r="H44" i="5"/>
  <c r="H43" i="5"/>
  <c r="H42" i="5"/>
  <c r="H41" i="5"/>
  <c r="H39" i="5"/>
  <c r="H38" i="5"/>
  <c r="H37" i="5"/>
  <c r="P20" i="5" l="1"/>
  <c r="Q60" i="5"/>
  <c r="P60" i="5"/>
  <c r="O60" i="5"/>
  <c r="N60" i="5"/>
  <c r="M60" i="5"/>
  <c r="L60" i="5"/>
  <c r="Q95" i="5"/>
  <c r="P95" i="5"/>
  <c r="O95" i="5"/>
  <c r="N95" i="5"/>
  <c r="M95" i="5"/>
  <c r="L95" i="5"/>
  <c r="Q94" i="5"/>
  <c r="P94" i="5"/>
  <c r="O94" i="5"/>
  <c r="N94" i="5"/>
  <c r="M94" i="5"/>
  <c r="L94" i="5"/>
  <c r="Q93" i="5"/>
  <c r="P93" i="5"/>
  <c r="O93" i="5"/>
  <c r="N93" i="5"/>
  <c r="M93" i="5"/>
  <c r="L93" i="5"/>
  <c r="Q92" i="5"/>
  <c r="P92" i="5"/>
  <c r="O92" i="5"/>
  <c r="N92" i="5"/>
  <c r="M92" i="5"/>
  <c r="L92" i="5"/>
  <c r="Q91" i="5"/>
  <c r="P91" i="5"/>
  <c r="O91" i="5"/>
  <c r="N91" i="5"/>
  <c r="M91" i="5"/>
  <c r="L91" i="5"/>
  <c r="Q90" i="5"/>
  <c r="P90" i="5"/>
  <c r="O90" i="5"/>
  <c r="N90" i="5"/>
  <c r="M90" i="5"/>
  <c r="L90" i="5"/>
  <c r="O88" i="5"/>
  <c r="L88" i="5"/>
  <c r="O71" i="5"/>
  <c r="L71" i="5"/>
  <c r="Q45" i="5"/>
  <c r="P45" i="5"/>
  <c r="O45" i="5"/>
  <c r="N45" i="5"/>
  <c r="M45" i="5"/>
  <c r="L45" i="5"/>
  <c r="Q44" i="5"/>
  <c r="P44" i="5"/>
  <c r="O44" i="5"/>
  <c r="N44" i="5"/>
  <c r="M44" i="5"/>
  <c r="L44" i="5"/>
  <c r="Q43" i="5"/>
  <c r="P43" i="5"/>
  <c r="O43" i="5"/>
  <c r="N43" i="5"/>
  <c r="M43" i="5"/>
  <c r="L43" i="5"/>
  <c r="Q42" i="5"/>
  <c r="P42" i="5"/>
  <c r="O42" i="5"/>
  <c r="N42" i="5"/>
  <c r="M42" i="5"/>
  <c r="L42" i="5"/>
  <c r="Q41" i="5"/>
  <c r="P41" i="5"/>
  <c r="O41" i="5"/>
  <c r="N41" i="5"/>
  <c r="M41" i="5"/>
  <c r="L41" i="5"/>
  <c r="Q39" i="5"/>
  <c r="P39" i="5"/>
  <c r="O39" i="5"/>
  <c r="N39" i="5"/>
  <c r="M39" i="5"/>
  <c r="L39" i="5"/>
  <c r="Q38" i="5"/>
  <c r="P38" i="5"/>
  <c r="O38" i="5"/>
  <c r="N38" i="5"/>
  <c r="M38" i="5"/>
  <c r="L38" i="5"/>
  <c r="Q37" i="5"/>
  <c r="P37" i="5"/>
  <c r="O37" i="5"/>
  <c r="N37" i="5"/>
  <c r="M37" i="5"/>
  <c r="L37" i="5"/>
  <c r="O33" i="5"/>
  <c r="L33" i="5"/>
  <c r="Q22" i="5"/>
  <c r="P22" i="5"/>
  <c r="O22" i="5"/>
  <c r="N22" i="5"/>
  <c r="M22" i="5"/>
  <c r="L22" i="5"/>
  <c r="Q21" i="5"/>
  <c r="P21" i="5"/>
  <c r="O21" i="5"/>
  <c r="N21" i="5"/>
  <c r="M21" i="5"/>
  <c r="L21" i="5"/>
  <c r="Q20" i="5"/>
  <c r="O20" i="5"/>
  <c r="N20" i="5"/>
  <c r="M20" i="5"/>
  <c r="L20" i="5"/>
  <c r="Q17" i="5"/>
  <c r="P17" i="5"/>
  <c r="O17" i="5"/>
  <c r="N17" i="5"/>
  <c r="M17" i="5"/>
  <c r="L17" i="5"/>
  <c r="Q16" i="5"/>
  <c r="P16" i="5"/>
  <c r="O16" i="5"/>
  <c r="N16" i="5"/>
  <c r="M16" i="5"/>
  <c r="L16" i="5"/>
  <c r="Q15" i="5"/>
  <c r="P15" i="5"/>
  <c r="O15" i="5"/>
  <c r="N15" i="5"/>
  <c r="M15" i="5"/>
  <c r="L15" i="5"/>
  <c r="Q13" i="5"/>
  <c r="P13" i="5"/>
  <c r="O13" i="5"/>
  <c r="N13" i="5"/>
  <c r="M13" i="5"/>
  <c r="L13" i="5"/>
  <c r="Q12" i="5"/>
  <c r="P12" i="5"/>
  <c r="O12" i="5"/>
  <c r="N12" i="5"/>
  <c r="M12" i="5"/>
  <c r="L12" i="5"/>
  <c r="Q11" i="5"/>
  <c r="P11" i="5"/>
  <c r="O11" i="5"/>
  <c r="N11" i="5"/>
  <c r="M11" i="5"/>
  <c r="L11" i="5"/>
  <c r="Q10" i="5"/>
  <c r="P10" i="5"/>
  <c r="O10" i="5"/>
  <c r="N10" i="5"/>
  <c r="M10" i="5"/>
  <c r="L10" i="5"/>
  <c r="O7" i="5"/>
  <c r="L7" i="5"/>
  <c r="M67" i="2" l="1"/>
  <c r="N67" i="2"/>
  <c r="C44" i="5" l="1"/>
  <c r="B44" i="5"/>
  <c r="J53" i="5" l="1"/>
  <c r="I53" i="5"/>
  <c r="J52" i="5"/>
  <c r="I52" i="5"/>
  <c r="I51" i="5"/>
  <c r="J50" i="5"/>
  <c r="I50" i="5"/>
  <c r="J49" i="5"/>
  <c r="I49" i="5"/>
  <c r="J47" i="5"/>
  <c r="G49" i="5"/>
  <c r="F49" i="5"/>
  <c r="G43" i="5"/>
  <c r="J43" i="5"/>
  <c r="F43" i="5"/>
  <c r="I43" i="5"/>
  <c r="K43" i="5" l="1"/>
  <c r="K49" i="5"/>
  <c r="J93" i="5"/>
  <c r="I93" i="5"/>
  <c r="J92" i="5"/>
  <c r="I92" i="5"/>
  <c r="J91" i="5"/>
  <c r="I91" i="5"/>
  <c r="J90" i="5"/>
  <c r="I90" i="5"/>
  <c r="J21" i="5"/>
  <c r="J18" i="5"/>
  <c r="I18" i="5"/>
  <c r="J16" i="5"/>
  <c r="J15" i="5"/>
  <c r="J58" i="5"/>
  <c r="J48" i="5"/>
  <c r="J44" i="5"/>
  <c r="J42" i="5"/>
  <c r="J41" i="5"/>
  <c r="J39" i="5"/>
  <c r="J38" i="5"/>
  <c r="J37" i="5"/>
  <c r="I42" i="5"/>
  <c r="I39" i="5"/>
  <c r="I38" i="5"/>
  <c r="I37" i="5"/>
  <c r="I25" i="5"/>
  <c r="J56" i="5"/>
  <c r="I56" i="5"/>
  <c r="D107" i="3" l="1"/>
  <c r="B37" i="3" s="1"/>
  <c r="B73" i="3"/>
  <c r="B58" i="3"/>
  <c r="B74" i="3" s="1"/>
  <c r="C34" i="5"/>
  <c r="C72" i="5" s="1"/>
  <c r="C89" i="5" s="1"/>
  <c r="B34" i="5"/>
  <c r="B72" i="5" s="1"/>
  <c r="B89" i="5" s="1"/>
  <c r="E8" i="5"/>
  <c r="E34" i="5" s="1"/>
  <c r="E72" i="5" s="1"/>
  <c r="E89" i="5" s="1"/>
  <c r="D8" i="5"/>
  <c r="F8" i="5" s="1"/>
  <c r="F34" i="5" s="1"/>
  <c r="F72" i="5" s="1"/>
  <c r="F89" i="5" s="1"/>
  <c r="N192" i="2"/>
  <c r="M192" i="2"/>
  <c r="B59" i="3" l="1"/>
  <c r="B60" i="3" s="1"/>
  <c r="B61" i="3" s="1"/>
  <c r="B64" i="3" s="1"/>
  <c r="B80" i="3" s="1"/>
  <c r="G8" i="5"/>
  <c r="G34" i="5" s="1"/>
  <c r="G72" i="5" s="1"/>
  <c r="G89" i="5" s="1"/>
  <c r="D34" i="5"/>
  <c r="D72" i="5" s="1"/>
  <c r="D89" i="5" s="1"/>
  <c r="G114" i="2"/>
  <c r="B76" i="3" l="1"/>
  <c r="B63" i="3"/>
  <c r="B79" i="3" s="1"/>
  <c r="B44" i="3"/>
  <c r="B62" i="3"/>
  <c r="B78" i="3" s="1"/>
  <c r="B77" i="3"/>
  <c r="B43" i="3"/>
  <c r="B42" i="3"/>
  <c r="B75" i="3"/>
  <c r="B65" i="3"/>
  <c r="B81" i="3" s="1"/>
  <c r="J102" i="2"/>
  <c r="I102" i="2"/>
  <c r="H102" i="2"/>
  <c r="G102" i="2"/>
  <c r="L24" i="3"/>
  <c r="L23" i="3"/>
  <c r="X116" i="2" l="1"/>
  <c r="U18" i="2"/>
  <c r="X18" i="2" s="1"/>
  <c r="U20" i="2"/>
  <c r="V20" i="2"/>
  <c r="U21" i="2"/>
  <c r="V21" i="2"/>
  <c r="U22" i="2"/>
  <c r="V22" i="2"/>
  <c r="W23" i="2"/>
  <c r="U25" i="2"/>
  <c r="V25" i="2"/>
  <c r="U26" i="2"/>
  <c r="V26" i="2"/>
  <c r="U27" i="2"/>
  <c r="V27" i="2"/>
  <c r="W28" i="2"/>
  <c r="W39" i="2"/>
  <c r="W44" i="2"/>
  <c r="W52" i="2"/>
  <c r="W56" i="2"/>
  <c r="J51" i="2"/>
  <c r="G63" i="2"/>
  <c r="G31" i="2"/>
  <c r="G47" i="2"/>
  <c r="X27" i="2" l="1"/>
  <c r="X20" i="2"/>
  <c r="X22" i="2"/>
  <c r="U23" i="2"/>
  <c r="X26" i="2"/>
  <c r="U28" i="2"/>
  <c r="V28" i="2"/>
  <c r="X21" i="2"/>
  <c r="V23" i="2"/>
  <c r="X25" i="2"/>
  <c r="X23" i="2" l="1"/>
  <c r="X28" i="2"/>
  <c r="U29" i="2"/>
  <c r="U31" i="2" s="1"/>
  <c r="U61" i="2" s="1"/>
  <c r="X29" i="2" l="1"/>
  <c r="X31" i="2" s="1"/>
  <c r="E12" i="5"/>
  <c r="J12" i="5" s="1"/>
  <c r="I16" i="5"/>
  <c r="I15" i="5"/>
  <c r="E51" i="5"/>
  <c r="J51" i="5" s="1"/>
  <c r="E10" i="5"/>
  <c r="J10" i="5" s="1"/>
  <c r="E20" i="5"/>
  <c r="J20" i="5" s="1"/>
  <c r="E17" i="5"/>
  <c r="C48" i="5"/>
  <c r="I48" i="5" s="1"/>
  <c r="C47" i="5"/>
  <c r="I47" i="5" s="1"/>
  <c r="G47" i="5"/>
  <c r="D22" i="5"/>
  <c r="B22" i="5"/>
  <c r="C21" i="5"/>
  <c r="I21" i="5" s="1"/>
  <c r="C10" i="5"/>
  <c r="I10" i="5" s="1"/>
  <c r="B11" i="5"/>
  <c r="G51" i="5" l="1"/>
  <c r="G21" i="5"/>
  <c r="E11" i="5"/>
  <c r="E22" i="5"/>
  <c r="J22" i="5" s="1"/>
  <c r="I185" i="2"/>
  <c r="AJ190" i="2" s="1"/>
  <c r="H185" i="2"/>
  <c r="AI190" i="2" s="1"/>
  <c r="G185" i="2"/>
  <c r="AH190" i="2" s="1"/>
  <c r="I184" i="2"/>
  <c r="AJ189" i="2" s="1"/>
  <c r="H184" i="2"/>
  <c r="AI189" i="2" s="1"/>
  <c r="AI191" i="2" s="1"/>
  <c r="G184" i="2"/>
  <c r="AH189" i="2" s="1"/>
  <c r="AH191" i="2" s="1"/>
  <c r="I181" i="2"/>
  <c r="AJ186" i="2" s="1"/>
  <c r="H181" i="2"/>
  <c r="AI186" i="2" s="1"/>
  <c r="G181" i="2"/>
  <c r="AH186" i="2" s="1"/>
  <c r="I180" i="2"/>
  <c r="AJ185" i="2" s="1"/>
  <c r="H180" i="2"/>
  <c r="AI185" i="2" s="1"/>
  <c r="G180" i="2"/>
  <c r="AH185" i="2" s="1"/>
  <c r="I159" i="2"/>
  <c r="AJ159" i="2" s="1"/>
  <c r="H159" i="2"/>
  <c r="AI159" i="2" s="1"/>
  <c r="G159" i="2"/>
  <c r="AH159" i="2" s="1"/>
  <c r="I158" i="2"/>
  <c r="AJ158" i="2" s="1"/>
  <c r="H158" i="2"/>
  <c r="AI158" i="2" s="1"/>
  <c r="G158" i="2"/>
  <c r="AH158" i="2" s="1"/>
  <c r="I155" i="2"/>
  <c r="AJ155" i="2" s="1"/>
  <c r="H155" i="2"/>
  <c r="AI155" i="2" s="1"/>
  <c r="G155" i="2"/>
  <c r="AH155" i="2" s="1"/>
  <c r="I154" i="2"/>
  <c r="AJ154" i="2" s="1"/>
  <c r="AJ156" i="2" s="1"/>
  <c r="H154" i="2"/>
  <c r="AI154" i="2" s="1"/>
  <c r="G154" i="2"/>
  <c r="AH154" i="2" s="1"/>
  <c r="I132" i="2"/>
  <c r="AJ132" i="2" s="1"/>
  <c r="I131" i="2"/>
  <c r="AJ131" i="2" s="1"/>
  <c r="AJ133" i="2" s="1"/>
  <c r="H132" i="2"/>
  <c r="H131" i="2"/>
  <c r="I128" i="2"/>
  <c r="AJ128" i="2" s="1"/>
  <c r="I127" i="2"/>
  <c r="AJ127" i="2" s="1"/>
  <c r="AJ129" i="2" s="1"/>
  <c r="H128" i="2"/>
  <c r="H127" i="2"/>
  <c r="G132" i="2"/>
  <c r="AH132" i="2" s="1"/>
  <c r="G131" i="2"/>
  <c r="G128" i="2"/>
  <c r="G127" i="2"/>
  <c r="AH187" i="2" l="1"/>
  <c r="AI156" i="2"/>
  <c r="AI187" i="2"/>
  <c r="U50" i="2"/>
  <c r="AH127" i="2"/>
  <c r="V54" i="2"/>
  <c r="AI131" i="2"/>
  <c r="AH192" i="2"/>
  <c r="AJ191" i="2"/>
  <c r="AI132" i="2"/>
  <c r="V55" i="2"/>
  <c r="X55" i="2" s="1"/>
  <c r="AI128" i="2"/>
  <c r="V51" i="2"/>
  <c r="AH128" i="2"/>
  <c r="U51" i="2"/>
  <c r="AJ187" i="2"/>
  <c r="AI160" i="2"/>
  <c r="U54" i="2"/>
  <c r="AH131" i="2"/>
  <c r="AH133" i="2" s="1"/>
  <c r="AH160" i="2"/>
  <c r="V50" i="2"/>
  <c r="V52" i="2" s="1"/>
  <c r="AI127" i="2"/>
  <c r="AH156" i="2"/>
  <c r="AH161" i="2" s="1"/>
  <c r="AJ160" i="2"/>
  <c r="X51" i="2" l="1"/>
  <c r="AI129" i="2"/>
  <c r="U56" i="2"/>
  <c r="X54" i="2"/>
  <c r="X56" i="2" s="1"/>
  <c r="AI133" i="2"/>
  <c r="V56" i="2"/>
  <c r="AH129" i="2"/>
  <c r="AH134" i="2" s="1"/>
  <c r="U52" i="2"/>
  <c r="X50" i="2"/>
  <c r="X52" i="2" s="1"/>
  <c r="G16" i="5"/>
  <c r="F16" i="5"/>
  <c r="K16" i="5" s="1"/>
  <c r="U57" i="2" l="1"/>
  <c r="X57" i="2"/>
  <c r="G92" i="5"/>
  <c r="F92" i="5"/>
  <c r="K92" i="5" s="1"/>
  <c r="G91" i="5"/>
  <c r="F91" i="5"/>
  <c r="K91" i="5" s="1"/>
  <c r="C12" i="5"/>
  <c r="I12" i="5" s="1"/>
  <c r="C58" i="5"/>
  <c r="I58" i="5" s="1"/>
  <c r="C59" i="5"/>
  <c r="O213" i="2" l="1"/>
  <c r="O212" i="2"/>
  <c r="H186" i="2"/>
  <c r="J180" i="2"/>
  <c r="AK185" i="2" s="1"/>
  <c r="G142" i="2"/>
  <c r="AH142" i="2" s="1"/>
  <c r="J158" i="2"/>
  <c r="AK158" i="2" s="1"/>
  <c r="J155" i="2"/>
  <c r="J128" i="2"/>
  <c r="AK128" i="2" s="1"/>
  <c r="I174" i="2"/>
  <c r="AJ174" i="2" s="1"/>
  <c r="H174" i="2"/>
  <c r="AI174" i="2" s="1"/>
  <c r="G174" i="2"/>
  <c r="AH174" i="2" s="1"/>
  <c r="I173" i="2"/>
  <c r="AJ173" i="2" s="1"/>
  <c r="H173" i="2"/>
  <c r="AI173" i="2" s="1"/>
  <c r="G173" i="2"/>
  <c r="I172" i="2"/>
  <c r="AJ172" i="2" s="1"/>
  <c r="H172" i="2"/>
  <c r="AI172" i="2" s="1"/>
  <c r="G172" i="2"/>
  <c r="AH172" i="2" s="1"/>
  <c r="I169" i="2"/>
  <c r="AJ169" i="2" s="1"/>
  <c r="H169" i="2"/>
  <c r="AI169" i="2" s="1"/>
  <c r="G169" i="2"/>
  <c r="AH169" i="2" s="1"/>
  <c r="I168" i="2"/>
  <c r="AJ168" i="2" s="1"/>
  <c r="H168" i="2"/>
  <c r="AI168" i="2" s="1"/>
  <c r="G168" i="2"/>
  <c r="AH168" i="2" s="1"/>
  <c r="I167" i="2"/>
  <c r="AJ167" i="2" s="1"/>
  <c r="AJ170" i="2" s="1"/>
  <c r="H167" i="2"/>
  <c r="AI167" i="2" s="1"/>
  <c r="I147" i="2"/>
  <c r="AJ147" i="2" s="1"/>
  <c r="H147" i="2"/>
  <c r="AI147" i="2" s="1"/>
  <c r="G147" i="2"/>
  <c r="AH147" i="2" s="1"/>
  <c r="I146" i="2"/>
  <c r="AJ146" i="2" s="1"/>
  <c r="H146" i="2"/>
  <c r="AI146" i="2" s="1"/>
  <c r="G146" i="2"/>
  <c r="AH146" i="2" s="1"/>
  <c r="I145" i="2"/>
  <c r="AJ145" i="2" s="1"/>
  <c r="H145" i="2"/>
  <c r="AI145" i="2" s="1"/>
  <c r="G145" i="2"/>
  <c r="AH145" i="2" s="1"/>
  <c r="I142" i="2"/>
  <c r="AJ142" i="2" s="1"/>
  <c r="H142" i="2"/>
  <c r="AI142" i="2" s="1"/>
  <c r="I141" i="2"/>
  <c r="AJ141" i="2" s="1"/>
  <c r="H141" i="2"/>
  <c r="AI141" i="2" s="1"/>
  <c r="G141" i="2"/>
  <c r="AH141" i="2" s="1"/>
  <c r="I140" i="2"/>
  <c r="AJ140" i="2" s="1"/>
  <c r="H140" i="2"/>
  <c r="AI140" i="2" s="1"/>
  <c r="I121" i="2"/>
  <c r="AJ121" i="2" s="1"/>
  <c r="H121" i="2"/>
  <c r="G121" i="2"/>
  <c r="I120" i="2"/>
  <c r="AJ120" i="2" s="1"/>
  <c r="H120" i="2"/>
  <c r="G120" i="2"/>
  <c r="I119" i="2"/>
  <c r="AJ119" i="2" s="1"/>
  <c r="AJ122" i="2" s="1"/>
  <c r="H119" i="2"/>
  <c r="G119" i="2"/>
  <c r="I116" i="2"/>
  <c r="AJ116" i="2" s="1"/>
  <c r="H116" i="2"/>
  <c r="G116" i="2"/>
  <c r="I115" i="2"/>
  <c r="AJ115" i="2" s="1"/>
  <c r="H115" i="2"/>
  <c r="G115" i="2"/>
  <c r="I114" i="2"/>
  <c r="AJ114" i="2" s="1"/>
  <c r="H114" i="2"/>
  <c r="W133" i="2"/>
  <c r="V133" i="2"/>
  <c r="U133" i="2"/>
  <c r="X132" i="2"/>
  <c r="X131" i="2"/>
  <c r="W129" i="2"/>
  <c r="V129" i="2"/>
  <c r="U129" i="2"/>
  <c r="X128" i="2"/>
  <c r="X127" i="2"/>
  <c r="W122" i="2"/>
  <c r="V122" i="2"/>
  <c r="U122" i="2"/>
  <c r="X121" i="2"/>
  <c r="X120" i="2"/>
  <c r="X119" i="2"/>
  <c r="W117" i="2"/>
  <c r="V117" i="2"/>
  <c r="X115" i="2"/>
  <c r="J185" i="2"/>
  <c r="AK190" i="2" s="1"/>
  <c r="J184" i="2"/>
  <c r="AK189" i="2" s="1"/>
  <c r="H182" i="2"/>
  <c r="J181" i="2"/>
  <c r="AK186" i="2" s="1"/>
  <c r="H160" i="2"/>
  <c r="J159" i="2"/>
  <c r="AK159" i="2" s="1"/>
  <c r="H133" i="2"/>
  <c r="J132" i="2"/>
  <c r="AK132" i="2" s="1"/>
  <c r="J131" i="2"/>
  <c r="AK131" i="2" s="1"/>
  <c r="AK133" i="2" s="1"/>
  <c r="H129" i="2"/>
  <c r="J127" i="2"/>
  <c r="AK127" i="2" s="1"/>
  <c r="AK129" i="2" s="1"/>
  <c r="G93" i="2"/>
  <c r="G88" i="2"/>
  <c r="G83" i="2"/>
  <c r="H71" i="2"/>
  <c r="J60" i="2"/>
  <c r="J59" i="2"/>
  <c r="J58" i="2"/>
  <c r="J55" i="2"/>
  <c r="J54" i="2"/>
  <c r="J53" i="2"/>
  <c r="J44" i="2"/>
  <c r="J43" i="2"/>
  <c r="J42" i="2"/>
  <c r="J39" i="2"/>
  <c r="J38" i="2"/>
  <c r="J37" i="2"/>
  <c r="J35" i="2"/>
  <c r="J28" i="2"/>
  <c r="J27" i="2"/>
  <c r="J26" i="2"/>
  <c r="H24" i="2"/>
  <c r="J23" i="2"/>
  <c r="J22" i="2"/>
  <c r="J21" i="2"/>
  <c r="J19" i="2"/>
  <c r="E74" i="5"/>
  <c r="E73" i="5"/>
  <c r="D74" i="5"/>
  <c r="D73" i="5"/>
  <c r="AK134" i="2" l="1"/>
  <c r="AK191" i="2"/>
  <c r="J56" i="2"/>
  <c r="J74" i="5"/>
  <c r="J73" i="5"/>
  <c r="AI170" i="2"/>
  <c r="AK160" i="2"/>
  <c r="X129" i="2"/>
  <c r="U42" i="2"/>
  <c r="AH120" i="2"/>
  <c r="J116" i="2"/>
  <c r="AH116" i="2"/>
  <c r="U38" i="2"/>
  <c r="X38" i="2" s="1"/>
  <c r="J121" i="2"/>
  <c r="AK121" i="2" s="1"/>
  <c r="AH121" i="2"/>
  <c r="U43" i="2"/>
  <c r="AJ175" i="2"/>
  <c r="AK187" i="2"/>
  <c r="AK192" i="2" s="1"/>
  <c r="V37" i="2"/>
  <c r="AI115" i="2"/>
  <c r="K155" i="2"/>
  <c r="AK155" i="2"/>
  <c r="V42" i="2"/>
  <c r="AI120" i="2"/>
  <c r="J173" i="2"/>
  <c r="AK173" i="2" s="1"/>
  <c r="AH173" i="2"/>
  <c r="AH175" i="2" s="1"/>
  <c r="AJ148" i="2"/>
  <c r="V38" i="2"/>
  <c r="AI116" i="2"/>
  <c r="V36" i="2"/>
  <c r="AI114" i="2"/>
  <c r="AH119" i="2"/>
  <c r="U41" i="2"/>
  <c r="AH148" i="2"/>
  <c r="U37" i="2"/>
  <c r="AH115" i="2"/>
  <c r="AJ143" i="2"/>
  <c r="AI175" i="2"/>
  <c r="AI121" i="2"/>
  <c r="V43" i="2"/>
  <c r="AJ117" i="2"/>
  <c r="AI119" i="2"/>
  <c r="V41" i="2"/>
  <c r="AI143" i="2"/>
  <c r="AI148" i="2"/>
  <c r="X122" i="2"/>
  <c r="Z122" i="2" s="1"/>
  <c r="J147" i="2"/>
  <c r="AK147" i="2" s="1"/>
  <c r="J169" i="2"/>
  <c r="J174" i="2"/>
  <c r="J142" i="2"/>
  <c r="H143" i="2"/>
  <c r="X133" i="2"/>
  <c r="X134" i="2" s="1"/>
  <c r="H122" i="2"/>
  <c r="K180" i="2"/>
  <c r="K127" i="2"/>
  <c r="J168" i="2"/>
  <c r="J145" i="2"/>
  <c r="AK145" i="2" s="1"/>
  <c r="U134" i="2"/>
  <c r="J120" i="2"/>
  <c r="AK120" i="2" s="1"/>
  <c r="J141" i="2"/>
  <c r="J172" i="2"/>
  <c r="AK172" i="2" s="1"/>
  <c r="J146" i="2"/>
  <c r="AK146" i="2" s="1"/>
  <c r="H175" i="2"/>
  <c r="K128" i="2"/>
  <c r="K181" i="2"/>
  <c r="H117" i="2"/>
  <c r="N216" i="2"/>
  <c r="J154" i="2"/>
  <c r="H156" i="2"/>
  <c r="H170" i="2"/>
  <c r="H148" i="2"/>
  <c r="M202" i="2"/>
  <c r="J119" i="2"/>
  <c r="AK119" i="2" s="1"/>
  <c r="J115" i="2"/>
  <c r="Z129" i="2"/>
  <c r="H70" i="2"/>
  <c r="H72" i="2" s="1"/>
  <c r="I44" i="5"/>
  <c r="B41" i="5"/>
  <c r="I41" i="5" s="1"/>
  <c r="AK141" i="2" l="1"/>
  <c r="L146" i="2"/>
  <c r="AK116" i="2"/>
  <c r="L121" i="2"/>
  <c r="AK115" i="2"/>
  <c r="L120" i="2"/>
  <c r="AK142" i="2"/>
  <c r="L147" i="2"/>
  <c r="AK168" i="2"/>
  <c r="L173" i="2"/>
  <c r="AK169" i="2"/>
  <c r="L174" i="2"/>
  <c r="AI117" i="2"/>
  <c r="K182" i="2"/>
  <c r="AK122" i="2"/>
  <c r="X43" i="2"/>
  <c r="V44" i="2"/>
  <c r="M216" i="2"/>
  <c r="O216" i="2" s="1"/>
  <c r="AK174" i="2"/>
  <c r="AK175" i="2" s="1"/>
  <c r="AI122" i="2"/>
  <c r="X37" i="2"/>
  <c r="K154" i="2"/>
  <c r="K156" i="2" s="1"/>
  <c r="AK154" i="2"/>
  <c r="AK156" i="2" s="1"/>
  <c r="AK161" i="2" s="1"/>
  <c r="V39" i="2"/>
  <c r="AK148" i="2"/>
  <c r="AH122" i="2"/>
  <c r="X41" i="2"/>
  <c r="U44" i="2"/>
  <c r="X42" i="2"/>
  <c r="Z133" i="2"/>
  <c r="K129" i="2"/>
  <c r="N214" i="2"/>
  <c r="N217" i="2" s="1"/>
  <c r="N202" i="2"/>
  <c r="M215" i="2"/>
  <c r="O215" i="2" s="1"/>
  <c r="B1" i="4"/>
  <c r="B1" i="3"/>
  <c r="B1" i="2"/>
  <c r="B1" i="1"/>
  <c r="T8" i="3"/>
  <c r="T11" i="3"/>
  <c r="U22" i="3"/>
  <c r="X11" i="3"/>
  <c r="X10" i="3"/>
  <c r="V15" i="3"/>
  <c r="V16" i="3" s="1"/>
  <c r="V11" i="3"/>
  <c r="V10" i="3"/>
  <c r="V8" i="3"/>
  <c r="T15" i="3"/>
  <c r="T10" i="3"/>
  <c r="U23" i="3" s="1"/>
  <c r="T16" i="3"/>
  <c r="W3" i="3"/>
  <c r="X15" i="3" l="1"/>
  <c r="X16" i="3" s="1"/>
  <c r="U24" i="3"/>
  <c r="V12" i="3"/>
  <c r="X8" i="3"/>
  <c r="X12" i="3" s="1"/>
  <c r="V45" i="2"/>
  <c r="X44" i="2"/>
  <c r="T12" i="3"/>
  <c r="D46" i="3"/>
  <c r="C46" i="3"/>
  <c r="D41" i="3"/>
  <c r="C41" i="3"/>
  <c r="E41" i="3" s="1"/>
  <c r="D40" i="3"/>
  <c r="C40" i="3"/>
  <c r="D39" i="3"/>
  <c r="C39" i="3"/>
  <c r="D38" i="3"/>
  <c r="C38" i="3"/>
  <c r="E38" i="3" s="1"/>
  <c r="C37" i="3"/>
  <c r="E37" i="3" s="1"/>
  <c r="D37" i="3"/>
  <c r="C28" i="3"/>
  <c r="G97" i="2"/>
  <c r="D31" i="1"/>
  <c r="D28" i="1"/>
  <c r="D27" i="1"/>
  <c r="U21" i="3" l="1"/>
  <c r="E39" i="3"/>
  <c r="U27" i="3"/>
  <c r="E40" i="3"/>
  <c r="E46" i="3"/>
  <c r="F131" i="3" l="1"/>
  <c r="F127" i="3"/>
  <c r="F128" i="3" s="1"/>
  <c r="F125" i="3"/>
  <c r="M76" i="2" l="1"/>
  <c r="M75" i="2"/>
  <c r="M77" i="2" l="1"/>
  <c r="F72" i="2"/>
  <c r="M196" i="2" l="1"/>
  <c r="M71" i="2"/>
  <c r="C76" i="5" s="1"/>
  <c r="M70" i="2"/>
  <c r="C75" i="5" s="1"/>
  <c r="M69" i="2"/>
  <c r="C74" i="5" s="1"/>
  <c r="C11" i="5"/>
  <c r="I11" i="5" s="1"/>
  <c r="C20" i="5"/>
  <c r="I20" i="5" s="1"/>
  <c r="E94" i="5"/>
  <c r="E100" i="5" s="1"/>
  <c r="D94" i="5"/>
  <c r="C94" i="5"/>
  <c r="C100" i="5" s="1"/>
  <c r="B94" i="5"/>
  <c r="G93" i="5"/>
  <c r="F93" i="5"/>
  <c r="G90" i="5"/>
  <c r="F90" i="5"/>
  <c r="K90" i="5" s="1"/>
  <c r="G58" i="5"/>
  <c r="F58" i="5"/>
  <c r="G56" i="5"/>
  <c r="F56" i="5"/>
  <c r="E54" i="5"/>
  <c r="D54" i="5"/>
  <c r="C54" i="5"/>
  <c r="B54" i="5"/>
  <c r="G53" i="5"/>
  <c r="F53" i="5"/>
  <c r="K53" i="5" s="1"/>
  <c r="G52" i="5"/>
  <c r="F52" i="5"/>
  <c r="F51" i="5"/>
  <c r="K51" i="5" s="1"/>
  <c r="G50" i="5"/>
  <c r="F50" i="5"/>
  <c r="G48" i="5"/>
  <c r="F48" i="5"/>
  <c r="K48" i="5" s="1"/>
  <c r="F47" i="5"/>
  <c r="K47" i="5" s="1"/>
  <c r="E45" i="5"/>
  <c r="D45" i="5"/>
  <c r="C45" i="5"/>
  <c r="B45" i="5"/>
  <c r="G44" i="5"/>
  <c r="F44" i="5"/>
  <c r="G42" i="5"/>
  <c r="F42" i="5"/>
  <c r="K42" i="5" s="1"/>
  <c r="G41" i="5"/>
  <c r="F41" i="5"/>
  <c r="K41" i="5" s="1"/>
  <c r="G39" i="5"/>
  <c r="F39" i="5"/>
  <c r="G38" i="5"/>
  <c r="F38" i="5"/>
  <c r="G37" i="5"/>
  <c r="F37" i="5"/>
  <c r="K37" i="5" s="1"/>
  <c r="F21" i="5"/>
  <c r="F20" i="5"/>
  <c r="G18" i="5"/>
  <c r="F18" i="5"/>
  <c r="D17" i="5"/>
  <c r="C17" i="5"/>
  <c r="G15" i="5"/>
  <c r="F15" i="5"/>
  <c r="K15" i="5" s="1"/>
  <c r="G12" i="5"/>
  <c r="F12" i="5"/>
  <c r="K12" i="5" s="1"/>
  <c r="D11" i="5"/>
  <c r="C13" i="5"/>
  <c r="B13" i="5"/>
  <c r="G10" i="5"/>
  <c r="F10" i="5"/>
  <c r="K10" i="5" s="1"/>
  <c r="G74" i="5" l="1"/>
  <c r="L51" i="5"/>
  <c r="L47" i="5"/>
  <c r="L52" i="5"/>
  <c r="L48" i="5"/>
  <c r="L53" i="5"/>
  <c r="L49" i="5"/>
  <c r="L54" i="5"/>
  <c r="L50" i="5"/>
  <c r="P53" i="5"/>
  <c r="P49" i="5"/>
  <c r="P54" i="5"/>
  <c r="P50" i="5"/>
  <c r="P51" i="5"/>
  <c r="P47" i="5"/>
  <c r="P52" i="5"/>
  <c r="P48" i="5"/>
  <c r="O53" i="5"/>
  <c r="O54" i="5"/>
  <c r="O50" i="5"/>
  <c r="O51" i="5"/>
  <c r="O47" i="5"/>
  <c r="O49" i="5"/>
  <c r="O52" i="5"/>
  <c r="O48" i="5"/>
  <c r="M48" i="5"/>
  <c r="M53" i="5"/>
  <c r="M49" i="5"/>
  <c r="M52" i="5"/>
  <c r="M54" i="5"/>
  <c r="M50" i="5"/>
  <c r="M51" i="5"/>
  <c r="M47" i="5"/>
  <c r="K58" i="5"/>
  <c r="K18" i="5"/>
  <c r="K39" i="5"/>
  <c r="J54" i="5"/>
  <c r="K93" i="5"/>
  <c r="J45" i="5"/>
  <c r="K52" i="5"/>
  <c r="I45" i="5"/>
  <c r="I13" i="5"/>
  <c r="J17" i="5"/>
  <c r="K50" i="5"/>
  <c r="D13" i="5"/>
  <c r="J11" i="5"/>
  <c r="J94" i="5"/>
  <c r="I94" i="5"/>
  <c r="K38" i="5"/>
  <c r="K44" i="5"/>
  <c r="K56" i="5"/>
  <c r="I54" i="5"/>
  <c r="K21" i="5"/>
  <c r="E55" i="5"/>
  <c r="E57" i="5" s="1"/>
  <c r="E59" i="5" s="1"/>
  <c r="F94" i="5"/>
  <c r="G20" i="5"/>
  <c r="G22" i="5" s="1"/>
  <c r="C22" i="5"/>
  <c r="G94" i="5"/>
  <c r="G100" i="5" s="1"/>
  <c r="B55" i="5"/>
  <c r="E13" i="5"/>
  <c r="D55" i="5"/>
  <c r="E76" i="5"/>
  <c r="M78" i="2"/>
  <c r="G45" i="5"/>
  <c r="C55" i="5"/>
  <c r="C57" i="5" s="1"/>
  <c r="B64" i="5" s="1"/>
  <c r="G54" i="5"/>
  <c r="G17" i="5"/>
  <c r="F54" i="5"/>
  <c r="F45" i="5"/>
  <c r="F17" i="5"/>
  <c r="F11" i="5"/>
  <c r="B17" i="5"/>
  <c r="I17" i="5" s="1"/>
  <c r="G11" i="5"/>
  <c r="G13" i="5" s="1"/>
  <c r="F44" i="3"/>
  <c r="F43" i="3"/>
  <c r="F42" i="3"/>
  <c r="L61" i="5" l="1"/>
  <c r="M61" i="5"/>
  <c r="N52" i="5"/>
  <c r="N48" i="5"/>
  <c r="N53" i="5"/>
  <c r="N54" i="5"/>
  <c r="N51" i="5"/>
  <c r="N47" i="5"/>
  <c r="N49" i="5"/>
  <c r="Q51" i="5"/>
  <c r="Q47" i="5"/>
  <c r="Q54" i="5"/>
  <c r="Q52" i="5"/>
  <c r="Q48" i="5"/>
  <c r="Q53" i="5"/>
  <c r="Q49" i="5"/>
  <c r="O61" i="5"/>
  <c r="P61" i="5"/>
  <c r="N50" i="5"/>
  <c r="Q50" i="5"/>
  <c r="K17" i="5"/>
  <c r="J13" i="5"/>
  <c r="K94" i="5"/>
  <c r="C25" i="5"/>
  <c r="I22" i="5"/>
  <c r="B25" i="5"/>
  <c r="F13" i="5"/>
  <c r="K13" i="5" s="1"/>
  <c r="K11" i="5"/>
  <c r="D42" i="3"/>
  <c r="D45" i="3" s="1"/>
  <c r="D47" i="3" s="1"/>
  <c r="C42" i="3"/>
  <c r="D25" i="5"/>
  <c r="D44" i="3"/>
  <c r="C44" i="3"/>
  <c r="E44" i="3" s="1"/>
  <c r="D26" i="5"/>
  <c r="C43" i="3"/>
  <c r="E43" i="3" s="1"/>
  <c r="D43" i="3"/>
  <c r="B26" i="5"/>
  <c r="K54" i="5"/>
  <c r="D57" i="5"/>
  <c r="J57" i="5" s="1"/>
  <c r="J55" i="5"/>
  <c r="B57" i="5"/>
  <c r="B59" i="5" s="1"/>
  <c r="I59" i="5" s="1"/>
  <c r="I55" i="5"/>
  <c r="K45" i="5"/>
  <c r="G27" i="5"/>
  <c r="K20" i="5"/>
  <c r="E62" i="5"/>
  <c r="D64" i="5"/>
  <c r="G25" i="5"/>
  <c r="E26" i="5"/>
  <c r="E25" i="5"/>
  <c r="F98" i="5"/>
  <c r="G98" i="5"/>
  <c r="G55" i="5"/>
  <c r="G57" i="5" s="1"/>
  <c r="G59" i="5" s="1"/>
  <c r="F64" i="5" s="1"/>
  <c r="C62" i="5"/>
  <c r="C26" i="5"/>
  <c r="G76" i="5"/>
  <c r="F55" i="5"/>
  <c r="F45" i="3"/>
  <c r="F47" i="3" s="1"/>
  <c r="I186" i="2"/>
  <c r="G186" i="2"/>
  <c r="I182" i="2"/>
  <c r="G182" i="2"/>
  <c r="I175" i="2"/>
  <c r="G175" i="2"/>
  <c r="I170" i="2"/>
  <c r="I160" i="2"/>
  <c r="G160" i="2"/>
  <c r="I156" i="2"/>
  <c r="G156" i="2"/>
  <c r="I148" i="2"/>
  <c r="G148" i="2"/>
  <c r="I143" i="2"/>
  <c r="N61" i="5" l="1"/>
  <c r="Q61" i="5"/>
  <c r="D59" i="5"/>
  <c r="J59" i="5" s="1"/>
  <c r="F22" i="5"/>
  <c r="E42" i="3"/>
  <c r="E45" i="3" s="1"/>
  <c r="E47" i="3" s="1"/>
  <c r="I57" i="5"/>
  <c r="K55" i="5"/>
  <c r="G63" i="5"/>
  <c r="F26" i="5"/>
  <c r="F27" i="5"/>
  <c r="F25" i="5"/>
  <c r="F57" i="5"/>
  <c r="K57" i="5" s="1"/>
  <c r="B62" i="5"/>
  <c r="D62" i="5"/>
  <c r="G26" i="5"/>
  <c r="G161" i="2"/>
  <c r="G187" i="2"/>
  <c r="G62" i="5"/>
  <c r="I61" i="2"/>
  <c r="I56" i="2"/>
  <c r="I45" i="2"/>
  <c r="I40" i="2"/>
  <c r="K22" i="5" l="1"/>
  <c r="F59" i="5"/>
  <c r="K59" i="5" s="1"/>
  <c r="F62" i="5" l="1"/>
  <c r="F63" i="5"/>
  <c r="E29" i="3"/>
  <c r="E28" i="3"/>
  <c r="E27" i="3"/>
  <c r="D18" i="1"/>
  <c r="D37" i="1"/>
  <c r="L8" i="3"/>
  <c r="L9" i="3"/>
  <c r="T22" i="3" s="1"/>
  <c r="S8" i="3" l="1"/>
  <c r="U8" i="3"/>
  <c r="W8" i="3"/>
  <c r="D51" i="3"/>
  <c r="C51" i="3"/>
  <c r="T21" i="3" l="1"/>
  <c r="L134" i="3"/>
  <c r="J131" i="3"/>
  <c r="L125" i="3"/>
  <c r="C64" i="3" s="1"/>
  <c r="L120" i="3"/>
  <c r="C63" i="3" s="1"/>
  <c r="F116" i="3"/>
  <c r="F133" i="3" s="1"/>
  <c r="L112" i="3"/>
  <c r="L111" i="3"/>
  <c r="C60" i="3" s="1"/>
  <c r="L110" i="3"/>
  <c r="C59" i="3" s="1"/>
  <c r="L109" i="3"/>
  <c r="C58" i="3" s="1"/>
  <c r="L108" i="3"/>
  <c r="D108" i="3"/>
  <c r="C108" i="3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H105" i="3"/>
  <c r="E107" i="3" s="1"/>
  <c r="G107" i="3" s="1"/>
  <c r="Q100" i="3" s="1"/>
  <c r="E105" i="3"/>
  <c r="G105" i="3" s="1"/>
  <c r="B10" i="3"/>
  <c r="D109" i="3" l="1"/>
  <c r="B38" i="3"/>
  <c r="C57" i="3"/>
  <c r="M134" i="3"/>
  <c r="Q93" i="3"/>
  <c r="H107" i="3"/>
  <c r="E108" i="3" s="1"/>
  <c r="G108" i="3" s="1"/>
  <c r="M108" i="3" s="1"/>
  <c r="D57" i="3" s="1"/>
  <c r="C61" i="3"/>
  <c r="H108" i="3"/>
  <c r="E109" i="3" s="1"/>
  <c r="G109" i="3" s="1"/>
  <c r="J105" i="3"/>
  <c r="J107" i="3"/>
  <c r="L129" i="3"/>
  <c r="C65" i="3" s="1"/>
  <c r="L115" i="3"/>
  <c r="D110" i="3" l="1"/>
  <c r="B39" i="3"/>
  <c r="L133" i="3"/>
  <c r="D73" i="3"/>
  <c r="C73" i="3"/>
  <c r="H109" i="3"/>
  <c r="E110" i="3" s="1"/>
  <c r="G110" i="3" s="1"/>
  <c r="J108" i="3"/>
  <c r="C62" i="3"/>
  <c r="J109" i="3"/>
  <c r="M109" i="3"/>
  <c r="D58" i="3" s="1"/>
  <c r="D18" i="4"/>
  <c r="D111" i="3" l="1"/>
  <c r="B40" i="3"/>
  <c r="L135" i="3"/>
  <c r="L138" i="3"/>
  <c r="E73" i="3"/>
  <c r="H110" i="3"/>
  <c r="E111" i="3" s="1"/>
  <c r="G111" i="3" s="1"/>
  <c r="D74" i="3"/>
  <c r="C74" i="3"/>
  <c r="M110" i="3"/>
  <c r="D59" i="3" s="1"/>
  <c r="J110" i="3"/>
  <c r="M16" i="3"/>
  <c r="K16" i="3"/>
  <c r="J16" i="3"/>
  <c r="I16" i="3"/>
  <c r="L15" i="3"/>
  <c r="M12" i="3"/>
  <c r="U25" i="3" s="1"/>
  <c r="K12" i="3"/>
  <c r="J12" i="3"/>
  <c r="I12" i="3"/>
  <c r="L11" i="3"/>
  <c r="L10" i="3"/>
  <c r="C66" i="3"/>
  <c r="C45" i="3"/>
  <c r="E30" i="3"/>
  <c r="F30" i="3" s="1"/>
  <c r="D30" i="3"/>
  <c r="C30" i="3"/>
  <c r="D112" i="3" l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B41" i="3"/>
  <c r="L16" i="3"/>
  <c r="N16" i="3" s="1"/>
  <c r="S15" i="3"/>
  <c r="U15" i="3"/>
  <c r="U16" i="3" s="1"/>
  <c r="W15" i="3"/>
  <c r="W16" i="3" s="1"/>
  <c r="D11" i="1"/>
  <c r="U11" i="3"/>
  <c r="S11" i="3"/>
  <c r="W11" i="3"/>
  <c r="I27" i="3"/>
  <c r="I28" i="3" s="1"/>
  <c r="E66" i="3"/>
  <c r="U10" i="3"/>
  <c r="S10" i="3"/>
  <c r="W10" i="3"/>
  <c r="L20" i="3"/>
  <c r="L19" i="3"/>
  <c r="L21" i="3" s="1"/>
  <c r="H111" i="3"/>
  <c r="H112" i="3" s="1"/>
  <c r="D75" i="3"/>
  <c r="C75" i="3"/>
  <c r="E75" i="3" s="1"/>
  <c r="E74" i="3"/>
  <c r="D86" i="3"/>
  <c r="C86" i="3"/>
  <c r="L12" i="3"/>
  <c r="C47" i="3"/>
  <c r="E112" i="3"/>
  <c r="G112" i="3" s="1"/>
  <c r="M111" i="3"/>
  <c r="D60" i="3" s="1"/>
  <c r="J111" i="3"/>
  <c r="I133" i="2"/>
  <c r="G133" i="2"/>
  <c r="M207" i="2" s="1"/>
  <c r="I129" i="2"/>
  <c r="G129" i="2"/>
  <c r="I122" i="2"/>
  <c r="G122" i="2"/>
  <c r="I117" i="2"/>
  <c r="I29" i="2"/>
  <c r="I24" i="2"/>
  <c r="T23" i="3" l="1"/>
  <c r="N12" i="3"/>
  <c r="L27" i="3"/>
  <c r="L28" i="3" s="1"/>
  <c r="D10" i="1"/>
  <c r="D12" i="1" s="1"/>
  <c r="D13" i="1" s="1"/>
  <c r="D19" i="1" s="1"/>
  <c r="T24" i="3"/>
  <c r="W12" i="3"/>
  <c r="U12" i="3"/>
  <c r="T27" i="3"/>
  <c r="S16" i="3"/>
  <c r="D76" i="3"/>
  <c r="C76" i="3"/>
  <c r="E76" i="3" s="1"/>
  <c r="G134" i="2"/>
  <c r="E113" i="3"/>
  <c r="G113" i="3" s="1"/>
  <c r="H113" i="3"/>
  <c r="M112" i="3"/>
  <c r="D61" i="3" s="1"/>
  <c r="J112" i="3"/>
  <c r="D77" i="3" l="1"/>
  <c r="C77" i="3"/>
  <c r="E77" i="3" s="1"/>
  <c r="J113" i="3"/>
  <c r="H114" i="3"/>
  <c r="E114" i="3"/>
  <c r="G114" i="3" l="1"/>
  <c r="J114" i="3" s="1"/>
  <c r="E115" i="3"/>
  <c r="H115" i="3"/>
  <c r="G115" i="3" l="1"/>
  <c r="J115" i="3" s="1"/>
  <c r="H116" i="3"/>
  <c r="E116" i="3"/>
  <c r="G116" i="3" s="1"/>
  <c r="J116" i="3" l="1"/>
  <c r="H117" i="3"/>
  <c r="E117" i="3"/>
  <c r="G117" i="3" l="1"/>
  <c r="J117" i="3" s="1"/>
  <c r="H118" i="3"/>
  <c r="E118" i="3"/>
  <c r="G118" i="3" s="1"/>
  <c r="M115" i="3" l="1"/>
  <c r="D62" i="3" s="1"/>
  <c r="D78" i="3" s="1"/>
  <c r="J118" i="3"/>
  <c r="E119" i="3"/>
  <c r="H119" i="3"/>
  <c r="C78" i="3" l="1"/>
  <c r="E78" i="3" s="1"/>
  <c r="G119" i="3"/>
  <c r="J119" i="3" s="1"/>
  <c r="E120" i="3"/>
  <c r="H120" i="3"/>
  <c r="G120" i="3" l="1"/>
  <c r="J120" i="3" s="1"/>
  <c r="H121" i="3"/>
  <c r="E121" i="3"/>
  <c r="G121" i="3" l="1"/>
  <c r="J121" i="3" s="1"/>
  <c r="H122" i="3"/>
  <c r="E122" i="3"/>
  <c r="G122" i="3" s="1"/>
  <c r="H123" i="3" l="1"/>
  <c r="E123" i="3"/>
  <c r="G123" i="3" s="1"/>
  <c r="J122" i="3"/>
  <c r="M120" i="3"/>
  <c r="D63" i="3" s="1"/>
  <c r="C79" i="3" l="1"/>
  <c r="D79" i="3"/>
  <c r="E124" i="3"/>
  <c r="H124" i="3"/>
  <c r="J123" i="3"/>
  <c r="E79" i="3" l="1"/>
  <c r="G124" i="3"/>
  <c r="J124" i="3" s="1"/>
  <c r="H125" i="3"/>
  <c r="E125" i="3"/>
  <c r="G125" i="3" s="1"/>
  <c r="H126" i="3" l="1"/>
  <c r="E126" i="3"/>
  <c r="J125" i="3"/>
  <c r="G126" i="3" l="1"/>
  <c r="J126" i="3" s="1"/>
  <c r="H127" i="3"/>
  <c r="E127" i="3"/>
  <c r="G127" i="3" s="1"/>
  <c r="J127" i="3" l="1"/>
  <c r="M125" i="3"/>
  <c r="D64" i="3" s="1"/>
  <c r="H128" i="3"/>
  <c r="E128" i="3"/>
  <c r="G128" i="3" s="1"/>
  <c r="D80" i="3" l="1"/>
  <c r="C80" i="3"/>
  <c r="J128" i="3"/>
  <c r="E129" i="3"/>
  <c r="H129" i="3"/>
  <c r="E80" i="3" l="1"/>
  <c r="G129" i="3"/>
  <c r="J129" i="3" s="1"/>
  <c r="H130" i="3"/>
  <c r="E130" i="3"/>
  <c r="G130" i="3" s="1"/>
  <c r="G133" i="3" l="1"/>
  <c r="J130" i="3"/>
  <c r="M129" i="3"/>
  <c r="E131" i="3"/>
  <c r="H131" i="3"/>
  <c r="M133" i="3" l="1"/>
  <c r="D65" i="3"/>
  <c r="M135" i="3" l="1"/>
  <c r="N133" i="3"/>
  <c r="D66" i="3"/>
  <c r="H87" i="3" s="1"/>
  <c r="D81" i="3"/>
  <c r="D82" i="3" s="1"/>
  <c r="C81" i="3"/>
  <c r="C82" i="3" s="1"/>
  <c r="E81" i="3" l="1"/>
  <c r="E82" i="3" s="1"/>
  <c r="C84" i="3" s="1"/>
  <c r="M68" i="2"/>
  <c r="F82" i="3" l="1"/>
  <c r="M72" i="2"/>
  <c r="M73" i="2" s="1"/>
  <c r="C73" i="5"/>
  <c r="S12" i="3"/>
  <c r="T25" i="3" s="1"/>
  <c r="J148" i="2"/>
  <c r="J182" i="2"/>
  <c r="L182" i="2" s="1"/>
  <c r="J129" i="2"/>
  <c r="J24" i="2"/>
  <c r="J40" i="2"/>
  <c r="L40" i="2" s="1"/>
  <c r="J156" i="2"/>
  <c r="L156" i="2" s="1"/>
  <c r="J133" i="2"/>
  <c r="G98" i="2"/>
  <c r="N70" i="2"/>
  <c r="B75" i="5" s="1"/>
  <c r="J186" i="2"/>
  <c r="L186" i="2" s="1"/>
  <c r="J160" i="2"/>
  <c r="L160" i="2" s="1"/>
  <c r="J61" i="2"/>
  <c r="L61" i="2" s="1"/>
  <c r="G91" i="2"/>
  <c r="I101" i="2" s="1"/>
  <c r="I103" i="2" s="1"/>
  <c r="G81" i="2"/>
  <c r="G101" i="2" s="1"/>
  <c r="D26" i="1"/>
  <c r="J29" i="2"/>
  <c r="L29" i="2" s="1"/>
  <c r="Q99" i="3"/>
  <c r="Q89" i="3" s="1"/>
  <c r="Q90" i="3" s="1"/>
  <c r="L56" i="2"/>
  <c r="N69" i="2"/>
  <c r="B74" i="5" s="1"/>
  <c r="J122" i="2"/>
  <c r="N68" i="2"/>
  <c r="J175" i="2"/>
  <c r="N71" i="2"/>
  <c r="B76" i="5" s="1"/>
  <c r="N196" i="2"/>
  <c r="D76" i="5" s="1"/>
  <c r="J45" i="2"/>
  <c r="L45" i="2" s="1"/>
  <c r="G86" i="2"/>
  <c r="H101" i="2" s="1"/>
  <c r="H103" i="2" s="1"/>
  <c r="D25" i="1"/>
  <c r="I75" i="5" l="1"/>
  <c r="J76" i="5"/>
  <c r="I76" i="5"/>
  <c r="I74" i="5"/>
  <c r="L24" i="2"/>
  <c r="J30" i="2"/>
  <c r="J31" i="2" s="1"/>
  <c r="G103" i="2"/>
  <c r="J101" i="2"/>
  <c r="J103" i="2" s="1"/>
  <c r="K103" i="2" s="1"/>
  <c r="Q92" i="3"/>
  <c r="Q94" i="3" s="1"/>
  <c r="G96" i="2"/>
  <c r="N75" i="2"/>
  <c r="N81" i="2" s="1"/>
  <c r="N72" i="2"/>
  <c r="J62" i="2"/>
  <c r="G73" i="5"/>
  <c r="C77" i="5"/>
  <c r="L133" i="2"/>
  <c r="N207" i="2"/>
  <c r="L129" i="2"/>
  <c r="F74" i="5"/>
  <c r="D32" i="1"/>
  <c r="D38" i="1" s="1"/>
  <c r="F76" i="5"/>
  <c r="B73" i="5"/>
  <c r="J187" i="2"/>
  <c r="N76" i="2"/>
  <c r="J46" i="2"/>
  <c r="J47" i="2" s="1"/>
  <c r="J134" i="2"/>
  <c r="J161" i="2"/>
  <c r="K74" i="5" l="1"/>
  <c r="O77" i="5"/>
  <c r="O75" i="5"/>
  <c r="O74" i="5"/>
  <c r="O76" i="5"/>
  <c r="I73" i="5"/>
  <c r="L73" i="5"/>
  <c r="K76" i="5"/>
  <c r="O73" i="5"/>
  <c r="J64" i="2"/>
  <c r="J63" i="2"/>
  <c r="L64" i="2" s="1"/>
  <c r="N77" i="2"/>
  <c r="N78" i="2" s="1"/>
  <c r="N82" i="2"/>
  <c r="D7" i="1" s="1"/>
  <c r="D6" i="1"/>
  <c r="C80" i="5"/>
  <c r="F73" i="5"/>
  <c r="B77" i="5"/>
  <c r="O78" i="5" l="1"/>
  <c r="I77" i="5"/>
  <c r="L77" i="5"/>
  <c r="L74" i="5"/>
  <c r="L75" i="5"/>
  <c r="L76" i="5"/>
  <c r="K73" i="5"/>
  <c r="X61" i="2"/>
  <c r="N83" i="2"/>
  <c r="L83" i="2" s="1"/>
  <c r="D8" i="1"/>
  <c r="N73" i="2"/>
  <c r="B80" i="5"/>
  <c r="L78" i="5" l="1"/>
  <c r="U117" i="2"/>
  <c r="U123" i="2" s="1"/>
  <c r="U135" i="2" s="1"/>
  <c r="G140" i="2"/>
  <c r="G143" i="2" s="1"/>
  <c r="G167" i="2"/>
  <c r="J167" i="2" s="1"/>
  <c r="AH167" i="2"/>
  <c r="AH170" i="2"/>
  <c r="AH176" i="2" s="1"/>
  <c r="AH193" i="2" s="1"/>
  <c r="X114" i="2"/>
  <c r="X117" i="2" s="1"/>
  <c r="U36" i="2"/>
  <c r="Z117" i="2" l="1"/>
  <c r="X123" i="2"/>
  <c r="X135" i="2" s="1"/>
  <c r="G170" i="2"/>
  <c r="L170" i="2" s="1"/>
  <c r="J170" i="2"/>
  <c r="J176" i="2" s="1"/>
  <c r="J188" i="2" s="1"/>
  <c r="L172" i="2"/>
  <c r="L175" i="2" s="1"/>
  <c r="AK167" i="2"/>
  <c r="AK170" i="2" s="1"/>
  <c r="AK176" i="2" s="1"/>
  <c r="AK193" i="2" s="1"/>
  <c r="G149" i="2"/>
  <c r="G162" i="2" s="1"/>
  <c r="X36" i="2"/>
  <c r="X39" i="2" s="1"/>
  <c r="X45" i="2" s="1"/>
  <c r="X58" i="2" s="1"/>
  <c r="U39" i="2"/>
  <c r="U45" i="2" s="1"/>
  <c r="U58" i="2" s="1"/>
  <c r="G117" i="2"/>
  <c r="M195" i="2"/>
  <c r="G176" i="2"/>
  <c r="G188" i="2" s="1"/>
  <c r="J140" i="2"/>
  <c r="M201" i="2"/>
  <c r="M203" i="2" s="1"/>
  <c r="AH114" i="2"/>
  <c r="AH117" i="2" s="1"/>
  <c r="AH123" i="2" s="1"/>
  <c r="AH135" i="2" s="1"/>
  <c r="AH178" i="2" s="1"/>
  <c r="AH140" i="2"/>
  <c r="AH143" i="2" s="1"/>
  <c r="AH149" i="2" s="1"/>
  <c r="AH162" i="2" s="1"/>
  <c r="J114" i="2"/>
  <c r="M204" i="2" l="1"/>
  <c r="E75" i="5"/>
  <c r="M197" i="2"/>
  <c r="G123" i="2"/>
  <c r="G135" i="2" s="1"/>
  <c r="G189" i="2" s="1"/>
  <c r="U62" i="2" s="1"/>
  <c r="L117" i="2"/>
  <c r="M206" i="2"/>
  <c r="M208" i="2" s="1"/>
  <c r="M214" i="2"/>
  <c r="AK114" i="2"/>
  <c r="AK117" i="2" s="1"/>
  <c r="AK123" i="2" s="1"/>
  <c r="AK135" i="2" s="1"/>
  <c r="N195" i="2"/>
  <c r="L119" i="2"/>
  <c r="L122" i="2" s="1"/>
  <c r="J117" i="2"/>
  <c r="N201" i="2"/>
  <c r="N203" i="2" s="1"/>
  <c r="L145" i="2"/>
  <c r="L148" i="2" s="1"/>
  <c r="AK140" i="2"/>
  <c r="AK143" i="2" s="1"/>
  <c r="AK149" i="2" s="1"/>
  <c r="AK162" i="2" s="1"/>
  <c r="J143" i="2"/>
  <c r="P75" i="5" l="1"/>
  <c r="O214" i="2"/>
  <c r="O217" i="2" s="1"/>
  <c r="M217" i="2"/>
  <c r="G195" i="2"/>
  <c r="U137" i="2"/>
  <c r="N206" i="2"/>
  <c r="N208" i="2" s="1"/>
  <c r="J123" i="2"/>
  <c r="J135" i="2" s="1"/>
  <c r="M209" i="2"/>
  <c r="M198" i="2"/>
  <c r="E77" i="5"/>
  <c r="G75" i="5"/>
  <c r="N204" i="2"/>
  <c r="D75" i="5"/>
  <c r="N197" i="2"/>
  <c r="J149" i="2"/>
  <c r="J162" i="2" s="1"/>
  <c r="L143" i="2"/>
  <c r="AK178" i="2"/>
  <c r="AH196" i="2"/>
  <c r="G77" i="5" l="1"/>
  <c r="Q75" i="5"/>
  <c r="J75" i="5"/>
  <c r="P77" i="5"/>
  <c r="P73" i="5"/>
  <c r="P74" i="5"/>
  <c r="P76" i="5"/>
  <c r="G196" i="2"/>
  <c r="J189" i="2"/>
  <c r="N198" i="2" s="1"/>
  <c r="N209" i="2"/>
  <c r="D77" i="5"/>
  <c r="M75" i="5" s="1"/>
  <c r="F75" i="5"/>
  <c r="G81" i="5"/>
  <c r="E80" i="5"/>
  <c r="P78" i="5" l="1"/>
  <c r="K75" i="5"/>
  <c r="J77" i="5"/>
  <c r="M77" i="5"/>
  <c r="M73" i="5"/>
  <c r="M74" i="5"/>
  <c r="M76" i="5"/>
  <c r="G80" i="5"/>
  <c r="Q77" i="5"/>
  <c r="Q74" i="5"/>
  <c r="Q76" i="5"/>
  <c r="Q73" i="5"/>
  <c r="J195" i="2"/>
  <c r="X137" i="2"/>
  <c r="X62" i="2"/>
  <c r="F77" i="5"/>
  <c r="N75" i="5" s="1"/>
  <c r="D80" i="5"/>
  <c r="AK196" i="2"/>
  <c r="M78" i="5" l="1"/>
  <c r="K77" i="5"/>
  <c r="N77" i="5"/>
  <c r="N78" i="5" s="1"/>
  <c r="N76" i="5"/>
  <c r="N74" i="5"/>
  <c r="N73" i="5"/>
  <c r="Q78" i="5"/>
  <c r="F81" i="5"/>
  <c r="F80" i="5"/>
  <c r="J196" i="2"/>
</calcChain>
</file>

<file path=xl/sharedStrings.xml><?xml version="1.0" encoding="utf-8"?>
<sst xmlns="http://schemas.openxmlformats.org/spreadsheetml/2006/main" count="784" uniqueCount="329">
  <si>
    <t>Description</t>
  </si>
  <si>
    <t>Amount</t>
  </si>
  <si>
    <t>Capital assets used in governmental activities are not financial resources are therefore not reported in the funds (total capital assets on government-wide statement in governmental activities column).</t>
  </si>
  <si>
    <t>Less accumulated depreciation</t>
  </si>
  <si>
    <t xml:space="preserve">Bonds, leases, and installment financing     </t>
  </si>
  <si>
    <t>Compensated absences</t>
  </si>
  <si>
    <t>Total adjustment</t>
  </si>
  <si>
    <t>Capital outlay expenditures recorded in the fund statements but capitalized as assets on the statement of activities.</t>
  </si>
  <si>
    <t>Depreciation expense that is recorded on the statement of activities but not in the fund statements.</t>
  </si>
  <si>
    <t>New debt issued during the year is recorded as a source of funds on the fund statements but has no effect on the statement of activities, only the statement of net position.</t>
  </si>
  <si>
    <t>Principal payments on debt owed are recorded as a use of funds on the fund statements but again affect only the statement of net position in the government-wide statements.</t>
  </si>
  <si>
    <t>Expenses reported on the statement of activities that do not require the use of current resources to pay are not recorded as expenditures in the fund statements.</t>
  </si>
  <si>
    <t>Difference in interest expense between fund statements (modified accrual) and government-wide statements (full accrual).</t>
  </si>
  <si>
    <t xml:space="preserve">Compensated absences are accrued in the government-wide statements but not in the fund statements, as they do not use current resources.  </t>
  </si>
  <si>
    <t>Governmental activities:</t>
  </si>
  <si>
    <t>Land</t>
  </si>
  <si>
    <t>Buildings</t>
  </si>
  <si>
    <t>Furniture and office equipment</t>
  </si>
  <si>
    <t>Electronic equipment</t>
  </si>
  <si>
    <t>Less accumulated depreciation for:</t>
  </si>
  <si>
    <t>Capital assets being depreciated:</t>
  </si>
  <si>
    <t>Capital assets not being depreciated:</t>
  </si>
  <si>
    <t>Total capital assets being depreciated</t>
  </si>
  <si>
    <t>Total accumulated depreciation</t>
  </si>
  <si>
    <t>Beginning</t>
  </si>
  <si>
    <t>Balances</t>
  </si>
  <si>
    <t>Increases</t>
  </si>
  <si>
    <t>Decreases</t>
  </si>
  <si>
    <t>Ending</t>
  </si>
  <si>
    <t>Total capital assets being depreciated, net</t>
  </si>
  <si>
    <t>Business-type activities:</t>
  </si>
  <si>
    <t>Food service equipment</t>
  </si>
  <si>
    <t>Instructional programs</t>
  </si>
  <si>
    <t>Supporting services</t>
  </si>
  <si>
    <t>Total depreciation expense</t>
  </si>
  <si>
    <t>Table Name = Table_Govt_Capital_Assets</t>
  </si>
  <si>
    <t>Table Name = Table_I.E.9.a</t>
  </si>
  <si>
    <t>Table Name = Table_I.E.9.b</t>
  </si>
  <si>
    <t>Asset Category</t>
  </si>
  <si>
    <t>Years</t>
  </si>
  <si>
    <t>Table Name = Depreciation_by_Program_Table</t>
  </si>
  <si>
    <t>Table Name = Asset_Useful_Life_Table_I.E.4</t>
  </si>
  <si>
    <t>Class of Property</t>
  </si>
  <si>
    <t>Cost</t>
  </si>
  <si>
    <t>Accumulated</t>
  </si>
  <si>
    <t>Depreciation</t>
  </si>
  <si>
    <t>Net</t>
  </si>
  <si>
    <t>Book Value</t>
  </si>
  <si>
    <t>Total</t>
  </si>
  <si>
    <t>Fiscal Years Ending June 30</t>
  </si>
  <si>
    <t>Total minimum lease payments</t>
  </si>
  <si>
    <t>Less:  amount representing interest</t>
  </si>
  <si>
    <t>Present value of minimum lease payments</t>
  </si>
  <si>
    <t>Table Name = Table_Capital_Lease_Minimum_Pymts</t>
  </si>
  <si>
    <t>Table Name = Table_Capital_Lease_Assets</t>
  </si>
  <si>
    <t>Principal</t>
  </si>
  <si>
    <t>Interest</t>
  </si>
  <si>
    <t>Total payments</t>
  </si>
  <si>
    <t>Table Name = Table_Revenue_Bond_Amortization</t>
  </si>
  <si>
    <t>Operating revenues</t>
  </si>
  <si>
    <t>Operating expenses*</t>
  </si>
  <si>
    <t>Operating income</t>
  </si>
  <si>
    <t>Nonoperating revenues (expenses)**</t>
  </si>
  <si>
    <t>Income available for debt service</t>
  </si>
  <si>
    <t>Debt service coverage ratio</t>
  </si>
  <si>
    <t>Debt service - principal and interest paid (Revenue Bond only)</t>
  </si>
  <si>
    <t>Table Name = Table_Revenue_Bond_Covenant_Calc</t>
  </si>
  <si>
    <t>Note payable - bank</t>
  </si>
  <si>
    <t>Capitalized leases</t>
  </si>
  <si>
    <t>Revenue bond</t>
  </si>
  <si>
    <t>Balance</t>
  </si>
  <si>
    <t>Portion</t>
  </si>
  <si>
    <t>Current</t>
  </si>
  <si>
    <t>Table Name = Table_Long_Term_Debt</t>
  </si>
  <si>
    <t>Total fund balance</t>
  </si>
  <si>
    <t>Inventories</t>
  </si>
  <si>
    <t>Prepaid items</t>
  </si>
  <si>
    <t>Appropriated fund balance in 2019 budget</t>
  </si>
  <si>
    <t>Less:</t>
  </si>
  <si>
    <t xml:space="preserve">Remaining fund balance </t>
  </si>
  <si>
    <t>Table Name = Remaining_Fund_Balance</t>
  </si>
  <si>
    <t>General Fund</t>
  </si>
  <si>
    <t>Non-major funds</t>
  </si>
  <si>
    <t>Fund</t>
  </si>
  <si>
    <t>Table Name = Table_Deferred_Inflows</t>
  </si>
  <si>
    <t>Prepaid items (General Fund)</t>
  </si>
  <si>
    <t>Unearned</t>
  </si>
  <si>
    <t>Revenue</t>
  </si>
  <si>
    <t>Table Name = Encumbrances_Note</t>
  </si>
  <si>
    <t>Table Name = Interfund_Balance_Note</t>
  </si>
  <si>
    <t>School Food Service Fund:</t>
  </si>
  <si>
    <t>Revenue bond amortization schedule and summary</t>
  </si>
  <si>
    <t>&lt;&lt;------  Audit Year</t>
  </si>
  <si>
    <t>Audit year</t>
  </si>
  <si>
    <t>Begin Audit Yr</t>
  </si>
  <si>
    <t>Total Yr 0 to Yr 25</t>
  </si>
  <si>
    <t>Future - Total</t>
  </si>
  <si>
    <t>Total all</t>
  </si>
  <si>
    <t xml:space="preserve">Compensated absences </t>
  </si>
  <si>
    <t xml:space="preserve">Bonds, leases and installment financing </t>
  </si>
  <si>
    <t xml:space="preserve">Total fund balances - government funds </t>
  </si>
  <si>
    <t>Total net position - governmental activities</t>
  </si>
  <si>
    <t>Net change in debt - government activities</t>
  </si>
  <si>
    <t>Lease table compared to debt table</t>
  </si>
  <si>
    <t xml:space="preserve">Bond amortization compare to debt table </t>
  </si>
  <si>
    <t>Total principal plus interest to be paid</t>
  </si>
  <si>
    <t>For paragraph following revenue bond covenant calculation</t>
  </si>
  <si>
    <t>Total - governmental capital assets, net</t>
  </si>
  <si>
    <t>Total food service capital assets, net</t>
  </si>
  <si>
    <t>Total - business-type capital assets, net</t>
  </si>
  <si>
    <t>Table Name = LTD_by_School</t>
  </si>
  <si>
    <t>See Cell R3</t>
  </si>
  <si>
    <t>See:  Cell P82</t>
  </si>
  <si>
    <t>Figure 2</t>
  </si>
  <si>
    <t>Condensed Statement of Net Position</t>
  </si>
  <si>
    <t>Governmental Activities</t>
  </si>
  <si>
    <t>Business-type Activities</t>
  </si>
  <si>
    <t>Assets</t>
  </si>
  <si>
    <t>Cash and cash equivalents</t>
  </si>
  <si>
    <t>Other current assets</t>
  </si>
  <si>
    <t>Capital assets</t>
  </si>
  <si>
    <t>Total assets</t>
  </si>
  <si>
    <t>Liabilities</t>
  </si>
  <si>
    <t>Long-term liabilities</t>
  </si>
  <si>
    <t>Total liabilities</t>
  </si>
  <si>
    <t>Deferred inflows of resources</t>
  </si>
  <si>
    <t>Net position</t>
  </si>
  <si>
    <t>Net investment in capital assets</t>
  </si>
  <si>
    <t>Unrestricted</t>
  </si>
  <si>
    <t>Total net position</t>
  </si>
  <si>
    <t>Figure 3</t>
  </si>
  <si>
    <t>Condensed Statement of Activities</t>
  </si>
  <si>
    <t>Revenues</t>
  </si>
  <si>
    <t>Program revenues</t>
  </si>
  <si>
    <t>Charges for services</t>
  </si>
  <si>
    <t xml:space="preserve">Operating grants and contributions </t>
  </si>
  <si>
    <t>Capital grants and contributions</t>
  </si>
  <si>
    <t>General revenues</t>
  </si>
  <si>
    <t>County, State and federal funds</t>
  </si>
  <si>
    <t>Unrestricted grants and contributions</t>
  </si>
  <si>
    <t>Other</t>
  </si>
  <si>
    <t>Total revenues</t>
  </si>
  <si>
    <t>Expenses</t>
  </si>
  <si>
    <t>Instructional services</t>
  </si>
  <si>
    <t>System-wide support services</t>
  </si>
  <si>
    <t>Non-programed charges</t>
  </si>
  <si>
    <t>School food service</t>
  </si>
  <si>
    <t>Child care</t>
  </si>
  <si>
    <t>Interest on long-term debt</t>
  </si>
  <si>
    <t>Total expenses</t>
  </si>
  <si>
    <t>Increase in net position before transfers</t>
  </si>
  <si>
    <t>Transfers</t>
  </si>
  <si>
    <t>Change in net position</t>
  </si>
  <si>
    <t>Net position, beginning</t>
  </si>
  <si>
    <t>Net position, ending</t>
  </si>
  <si>
    <t xml:space="preserve">Net Position:  Bal sheet =  Income Stmt </t>
  </si>
  <si>
    <t xml:space="preserve">Total Column crossfoots? </t>
  </si>
  <si>
    <t xml:space="preserve">Begin = Prior Ending? </t>
  </si>
  <si>
    <t>Figure 4</t>
  </si>
  <si>
    <t>Capital Assets, Net of Depreciation</t>
  </si>
  <si>
    <t>Furniture and other equipment</t>
  </si>
  <si>
    <t>Capital assets, net</t>
  </si>
  <si>
    <t>Figure 5</t>
  </si>
  <si>
    <t>Long-term Obligations</t>
  </si>
  <si>
    <t>Capital leases</t>
  </si>
  <si>
    <t>Total long-term obligations</t>
  </si>
  <si>
    <t>Owl Charter, Inc.</t>
  </si>
  <si>
    <t>Summary for MD&amp;A   -----&gt;&gt;</t>
  </si>
  <si>
    <t>Agree to Capital Assets note?</t>
  </si>
  <si>
    <t>Summary for MD&amp;A - Governmental</t>
  </si>
  <si>
    <t>Summary for MD&amp;A - Enterprise</t>
  </si>
  <si>
    <t>Table Name = Head_Cap_Assets_Schedule</t>
  </si>
  <si>
    <t>Total outlay for capital assets at cost</t>
  </si>
  <si>
    <t>Less:  depreciation expense</t>
  </si>
  <si>
    <t>Capital assets being depreciated</t>
  </si>
  <si>
    <t>Accumulated depreciation</t>
  </si>
  <si>
    <t>Capital assets being depreciated, net</t>
  </si>
  <si>
    <t>Due after one yr</t>
  </si>
  <si>
    <t>Due in More than One Year</t>
  </si>
  <si>
    <t>Check Amount</t>
  </si>
  <si>
    <t>Furniture and other equipment*</t>
  </si>
  <si>
    <t>* Includes food service equipment</t>
  </si>
  <si>
    <t>Enter amount charged to supporting services</t>
  </si>
  <si>
    <t>Depreciation charged to governmental functions</t>
  </si>
  <si>
    <t>Total depreciation</t>
  </si>
  <si>
    <t>Table Name = Payment_by_School</t>
  </si>
  <si>
    <t xml:space="preserve">  -----&gt;&gt;</t>
  </si>
  <si>
    <t>to cell P85</t>
  </si>
  <si>
    <t xml:space="preserve">  *    Excludes depreciation expense of $101,298</t>
  </si>
  <si>
    <t xml:space="preserve">  **  Excludes Revenue Bond interest paid of $240,387.</t>
  </si>
  <si>
    <t>Depreciation on governmental assets</t>
  </si>
  <si>
    <t>Revenue bond interest paid</t>
  </si>
  <si>
    <t xml:space="preserve">   Text for pledged revenue paragraph</t>
  </si>
  <si>
    <t>School as % of total debt</t>
  </si>
  <si>
    <t xml:space="preserve">Ending balance total  agrees to debt table </t>
  </si>
  <si>
    <t>Check Amounts</t>
  </si>
  <si>
    <t>Summary for Exhibit 6  -----&gt;&gt;</t>
  </si>
  <si>
    <t>School Food Service Fund</t>
  </si>
  <si>
    <t>Computer equipment</t>
  </si>
  <si>
    <t>Ending Balances</t>
  </si>
  <si>
    <t xml:space="preserve">Net position total  = </t>
  </si>
  <si>
    <t xml:space="preserve">In balance?  </t>
  </si>
  <si>
    <t>% chg GA</t>
  </si>
  <si>
    <t>% chg BTA</t>
  </si>
  <si>
    <t>% Total GA</t>
  </si>
  <si>
    <t>Debt table = balance sheet?</t>
  </si>
  <si>
    <t>Total Column crossfoots?</t>
  </si>
  <si>
    <t>Capital assets table = balance sheet?</t>
  </si>
  <si>
    <t>For MD&amp;A text:</t>
  </si>
  <si>
    <t>Agrees to detail for depreciable assets?</t>
  </si>
  <si>
    <t>If necessary, adjust for rounding differences to agree detail above to total.</t>
  </si>
  <si>
    <t>Yr.</t>
  </si>
  <si>
    <r>
      <t xml:space="preserve">Amount by which capital outlays exceeded depreciation in the current period for </t>
    </r>
    <r>
      <rPr>
        <b/>
        <sz val="12"/>
        <color theme="1"/>
        <rFont val="Arial"/>
        <family val="2"/>
      </rPr>
      <t>Exhibit 5:</t>
    </r>
  </si>
  <si>
    <t>&gt;&gt;</t>
  </si>
  <si>
    <t>Amounts for Note I.E.9.a.</t>
  </si>
  <si>
    <t>Capital assets, gross</t>
  </si>
  <si>
    <t xml:space="preserve">Change in fund balances - governmental funds </t>
  </si>
  <si>
    <t>Change in net position - governmental activities</t>
  </si>
  <si>
    <r>
      <t>Adjustment for</t>
    </r>
    <r>
      <rPr>
        <u/>
        <sz val="12"/>
        <color theme="1"/>
        <rFont val="Arial"/>
        <family val="2"/>
      </rPr>
      <t xml:space="preserve"> introductory paragraph</t>
    </r>
    <r>
      <rPr>
        <sz val="12"/>
        <color theme="1"/>
        <rFont val="Arial"/>
        <family val="2"/>
      </rPr>
      <t xml:space="preserve"> to table</t>
    </r>
  </si>
  <si>
    <r>
      <t xml:space="preserve">Adjustment for </t>
    </r>
    <r>
      <rPr>
        <u/>
        <sz val="12"/>
        <color theme="1"/>
        <rFont val="Arial"/>
        <family val="2"/>
      </rPr>
      <t>introductory paragrap</t>
    </r>
    <r>
      <rPr>
        <sz val="12"/>
        <color theme="1"/>
        <rFont val="Arial"/>
        <family val="2"/>
      </rPr>
      <t>h to table</t>
    </r>
  </si>
  <si>
    <t>Liabilities that, because they are not due and payable in the current period, do not require current resources to pay and are therefore not reported in the fund statements</t>
  </si>
  <si>
    <t>For MD&amp;A</t>
  </si>
  <si>
    <t>Separate tables by town</t>
  </si>
  <si>
    <t>Total being depreciated</t>
  </si>
  <si>
    <t>Total governmental capital assets, net</t>
  </si>
  <si>
    <t>Total business-type capital assets, net</t>
  </si>
  <si>
    <t>Total being depreciated, net</t>
  </si>
  <si>
    <t>Doceo total being depreciated, net</t>
  </si>
  <si>
    <t>Doceo governmental capital assets, net</t>
  </si>
  <si>
    <t>Table Name = Doceo_BTA_Capital_Assets</t>
  </si>
  <si>
    <t>Doceo business-type capital assets, net</t>
  </si>
  <si>
    <t>Doceo - business-type capital assets, net</t>
  </si>
  <si>
    <t>Erudio total being depreciated, net</t>
  </si>
  <si>
    <t>Erudio governmental capital assets, net</t>
  </si>
  <si>
    <t>Erudio business-type capital assets, net</t>
  </si>
  <si>
    <t>Erudio - business-type capital assets, net</t>
  </si>
  <si>
    <t>Discite total being depreciated, net</t>
  </si>
  <si>
    <t>Discite governmental capital assets, net</t>
  </si>
  <si>
    <t>Discite business-type capital assets, net</t>
  </si>
  <si>
    <t>Discite - business-type capital assets, net</t>
  </si>
  <si>
    <t>The due to Owl - Doceo from Owl - Discite represents the amount owed for the use of athletic facilities.</t>
  </si>
  <si>
    <t>Owl - Doceo</t>
  </si>
  <si>
    <t>Owl - Erudio</t>
  </si>
  <si>
    <t>Owl - Discite</t>
  </si>
  <si>
    <t>Change in compensated absences</t>
  </si>
  <si>
    <t>Total capital assets</t>
  </si>
  <si>
    <t>= MD&amp;A Figure 5 total</t>
  </si>
  <si>
    <t>Total long term debt</t>
  </si>
  <si>
    <t>= MD&amp;A Figure 4 total</t>
  </si>
  <si>
    <t>% chg Total</t>
  </si>
  <si>
    <r>
      <rPr>
        <b/>
        <sz val="12"/>
        <color theme="1"/>
        <rFont val="Arial"/>
        <family val="2"/>
      </rPr>
      <t>Note:</t>
    </r>
    <r>
      <rPr>
        <sz val="12"/>
        <color theme="1"/>
        <rFont val="Arial"/>
        <family val="2"/>
      </rPr>
      <t xml:space="preserve">  </t>
    </r>
    <r>
      <rPr>
        <i/>
        <sz val="12"/>
        <color theme="1"/>
        <rFont val="Arial"/>
        <family val="2"/>
      </rPr>
      <t>Doceo</t>
    </r>
    <r>
      <rPr>
        <sz val="12"/>
        <color theme="1"/>
        <rFont val="Arial"/>
        <family val="2"/>
      </rPr>
      <t xml:space="preserve"> is Latin meaning to enlighten or teach; </t>
    </r>
    <r>
      <rPr>
        <i/>
        <sz val="12"/>
        <color theme="1"/>
        <rFont val="Arial"/>
        <family val="2"/>
      </rPr>
      <t>Erudio</t>
    </r>
    <r>
      <rPr>
        <sz val="12"/>
        <color theme="1"/>
        <rFont val="Arial"/>
        <family val="2"/>
      </rPr>
      <t xml:space="preserve"> - to educate; and </t>
    </r>
    <r>
      <rPr>
        <i/>
        <sz val="12"/>
        <color theme="1"/>
        <rFont val="Arial"/>
        <family val="2"/>
      </rPr>
      <t>Discite</t>
    </r>
    <r>
      <rPr>
        <sz val="12"/>
        <color theme="1"/>
        <rFont val="Arial"/>
        <family val="2"/>
      </rPr>
      <t xml:space="preserve"> - to learn.</t>
    </r>
  </si>
  <si>
    <t>Total P&amp;I</t>
  </si>
  <si>
    <t>Net Transfers -- check details!</t>
  </si>
  <si>
    <t>Investment earnings</t>
  </si>
  <si>
    <t>Ancillary services</t>
  </si>
  <si>
    <t>Table Name = Figure_2</t>
  </si>
  <si>
    <t>Table Name = Figure_3</t>
  </si>
  <si>
    <t>Table Name = Figure_4</t>
  </si>
  <si>
    <t>Table Name = Figure_5</t>
  </si>
  <si>
    <t>In the sample financials, the selection was copied and pasted as a Picture (Enhanced Metafile) - for information, see the Appendix referenced below for MDA Figure 1.  However, the best approach is the one with which you are most familiar.</t>
  </si>
  <si>
    <t>Table Name for Notes</t>
  </si>
  <si>
    <t>Tab and Description</t>
  </si>
  <si>
    <t>Note Ref.</t>
  </si>
  <si>
    <t>MDA Figure 1</t>
  </si>
  <si>
    <t>Following MD&amp;A draft</t>
  </si>
  <si>
    <t>Tab = For MD&amp;A</t>
  </si>
  <si>
    <t>MD&amp;A</t>
  </si>
  <si>
    <t>Tab = Govt Wide - Fund Recon</t>
  </si>
  <si>
    <t>I.E.9.</t>
  </si>
  <si>
    <t>Itemizes net adjustment for difference between governmental fund balance sheet and the statement of net position.</t>
  </si>
  <si>
    <t>I.F.2.</t>
  </si>
  <si>
    <t>Itemizes net adjustment for difference between governmental fund changes in fund balance and the governmental activities changes in net position.</t>
  </si>
  <si>
    <t>Tab = Capital Assets</t>
  </si>
  <si>
    <t>I.E.4.</t>
  </si>
  <si>
    <t>List useful life of categories of capital assets.</t>
  </si>
  <si>
    <t>Table Name = Govt_Capital_Assets</t>
  </si>
  <si>
    <t>III.A.2.</t>
  </si>
  <si>
    <t>Summarizes capital transactions for governmental activities for the year.</t>
  </si>
  <si>
    <t>Itemizes depreciation by program.</t>
  </si>
  <si>
    <t>Table Name = BTA_Capital_Assets</t>
  </si>
  <si>
    <t>Summarizes capital transactions for business-type activities for the year.</t>
  </si>
  <si>
    <t>Table Name = Leased_Assets</t>
  </si>
  <si>
    <t>Tab = Long-Term Obligations</t>
  </si>
  <si>
    <t>III.B.5.b.</t>
  </si>
  <si>
    <t>Itemizes cost of assets leased, accumulated depreciation and net book value.</t>
  </si>
  <si>
    <t>Table Name = Lease_Minimum_Payments</t>
  </si>
  <si>
    <t>Summarizes future minimum lease payments.</t>
  </si>
  <si>
    <t>Table Name = Long_Term_Debt</t>
  </si>
  <si>
    <t>III.B.5.c.</t>
  </si>
  <si>
    <t>Summarizes long-term debt transactions for governmental and business-type activities for the year.</t>
  </si>
  <si>
    <t>Table Name = Deferred_Inflows</t>
  </si>
  <si>
    <t>Tab = Other Tables</t>
  </si>
  <si>
    <t>III.B.2.</t>
  </si>
  <si>
    <t>Describes balance in deferred inflows of resources.</t>
  </si>
  <si>
    <t>III.C.</t>
  </si>
  <si>
    <t>Itemizes composition of interfund balances.</t>
  </si>
  <si>
    <t>Table Name = Interfund_Transfer_Note</t>
  </si>
  <si>
    <t>Summarizes interfund transactions during the year.</t>
  </si>
  <si>
    <t>III.D.</t>
  </si>
  <si>
    <t>Table itemizes the proportion of fund balance of the General Fund that is available for appropriation.</t>
  </si>
  <si>
    <t>Summarizes commitments related to purchase order and unperformed contracts at year-end.</t>
  </si>
  <si>
    <r>
      <t>While</t>
    </r>
    <r>
      <rPr>
        <u/>
        <sz val="12"/>
        <color theme="1"/>
        <rFont val="Arial"/>
        <family val="2"/>
      </rPr>
      <t xml:space="preserve"> in the Tab with the table</t>
    </r>
    <r>
      <rPr>
        <sz val="12"/>
        <color theme="1"/>
        <rFont val="Arial"/>
        <family val="2"/>
      </rPr>
      <t>, select the requested table from the "Names Box" or using the "Name Manager".</t>
    </r>
  </si>
  <si>
    <r>
      <rPr>
        <u/>
        <sz val="12"/>
        <color theme="1"/>
        <rFont val="Arial"/>
        <family val="2"/>
      </rPr>
      <t>See</t>
    </r>
    <r>
      <rPr>
        <sz val="12"/>
        <color theme="1"/>
        <rFont val="Arial"/>
        <family val="2"/>
      </rPr>
      <t>:  "Appendix - Alternative Graphics for Consideration"</t>
    </r>
  </si>
  <si>
    <t>Fiscal Year Ended June 30, 2018</t>
  </si>
  <si>
    <t>Note payable direct borrowing</t>
  </si>
  <si>
    <t>Revenue bond direct placement</t>
  </si>
  <si>
    <t>Current liabilities</t>
  </si>
  <si>
    <t>Capital assets, net of accumulated depreciation</t>
  </si>
  <si>
    <t>Liabilities not requiring use of current resources</t>
  </si>
  <si>
    <t>Minium Lease Payments</t>
  </si>
  <si>
    <t>Total Principal and Interest Payments</t>
  </si>
  <si>
    <t>%Total BTA</t>
  </si>
  <si>
    <t>%Total All</t>
  </si>
  <si>
    <t>Components as % of assets</t>
  </si>
  <si>
    <t>Components as % of liabilities</t>
  </si>
  <si>
    <t>Components as % of net position</t>
  </si>
  <si>
    <t>Components as % of revenue</t>
  </si>
  <si>
    <t>Components as % of expenditures</t>
  </si>
  <si>
    <t>Capital assets, net as % total</t>
  </si>
  <si>
    <t>Capital assets, net as % of total</t>
  </si>
  <si>
    <t>Revenue components</t>
  </si>
  <si>
    <t>Expenditure components</t>
  </si>
  <si>
    <t>Childcare Fund</t>
  </si>
  <si>
    <t>Childcare Fund:</t>
  </si>
  <si>
    <t>Total childcare capital assets, net</t>
  </si>
  <si>
    <t>Update beginning year</t>
  </si>
  <si>
    <t>Notes payable direct borrowing</t>
  </si>
  <si>
    <t>Current portion from notes</t>
  </si>
  <si>
    <r>
      <t xml:space="preserve">Note payable in above schedule </t>
    </r>
    <r>
      <rPr>
        <u/>
        <sz val="12"/>
        <color theme="1"/>
        <rFont val="Arial"/>
        <family val="2"/>
      </rPr>
      <t>includes</t>
    </r>
    <r>
      <rPr>
        <sz val="12"/>
        <color theme="1"/>
        <rFont val="Arial"/>
        <family val="2"/>
      </rPr>
      <t xml:space="preserve"> current amount.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</si>
</sst>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yyyy"/>
    <numFmt numFmtId="168" formatCode="0.0%"/>
  </numFmts>
  <fonts count="1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u val="singleAccounting"/>
      <sz val="12"/>
      <color theme="1"/>
      <name val="Arial"/>
      <family val="2"/>
    </font>
    <font>
      <b/>
      <sz val="12"/>
      <color theme="1"/>
      <name val="Arial"/>
      <family val="2"/>
    </font>
    <font>
      <u val="doubleAccounting"/>
      <sz val="12"/>
      <color theme="1"/>
      <name val="Arial"/>
      <family val="2"/>
    </font>
    <font>
      <sz val="12"/>
      <name val="Arial"/>
      <family val="2"/>
    </font>
    <font>
      <u val="singleAccounting"/>
      <sz val="12"/>
      <name val="Arial"/>
      <family val="2"/>
    </font>
    <font>
      <u val="doubleAccounting"/>
      <sz val="12"/>
      <name val="Arial"/>
      <family val="2"/>
    </font>
    <font>
      <u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u val="singleAccounting"/>
      <sz val="12"/>
      <color theme="1"/>
      <name val="Arial"/>
      <family val="2"/>
    </font>
    <font>
      <u val="doubleAccounting"/>
      <sz val="12"/>
      <color theme="1"/>
      <name val="Times New Roman"/>
      <family val="2"/>
    </font>
    <font>
      <b/>
      <u val="doubleAccounting"/>
      <sz val="12"/>
      <color theme="1"/>
      <name val="Arial"/>
      <family val="2"/>
    </font>
    <font>
      <i/>
      <sz val="12"/>
      <color theme="1"/>
      <name val="Arial"/>
      <family val="2"/>
    </font>
    <font>
      <b/>
      <u val="singleAccounting"/>
      <sz val="12"/>
      <color theme="1"/>
      <name val="Times New Roman"/>
      <family val="1"/>
    </font>
    <font>
      <u val="singleAccounting"/>
      <sz val="12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rgb="FFCCFFCC"/>
      </left>
      <right/>
      <top style="medium">
        <color rgb="FFCCFFCC"/>
      </top>
      <bottom/>
      <diagonal/>
    </border>
    <border>
      <left/>
      <right style="medium">
        <color rgb="FFCCFFCC"/>
      </right>
      <top style="medium">
        <color rgb="FFCCFFCC"/>
      </top>
      <bottom/>
      <diagonal/>
    </border>
    <border>
      <left style="medium">
        <color rgb="FFCCFFCC"/>
      </left>
      <right/>
      <top/>
      <bottom/>
      <diagonal/>
    </border>
    <border>
      <left/>
      <right style="medium">
        <color rgb="FFCCFFCC"/>
      </right>
      <top/>
      <bottom/>
      <diagonal/>
    </border>
    <border>
      <left style="medium">
        <color rgb="FFCCFFCC"/>
      </left>
      <right/>
      <top/>
      <bottom style="medium">
        <color rgb="FFCCFFCC"/>
      </bottom>
      <diagonal/>
    </border>
    <border>
      <left/>
      <right style="medium">
        <color rgb="FFCCFFCC"/>
      </right>
      <top/>
      <bottom style="medium">
        <color rgb="FFCCFFCC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67" fontId="4" fillId="0" borderId="0" xfId="0" applyNumberFormat="1" applyFont="1" applyAlignment="1">
      <alignment horizontal="center"/>
    </xf>
    <xf numFmtId="167" fontId="4" fillId="0" borderId="0" xfId="0" applyNumberFormat="1" applyFont="1" applyAlignment="1"/>
    <xf numFmtId="0" fontId="5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8" fontId="3" fillId="0" borderId="0" xfId="2" applyNumberFormat="1" applyFont="1" applyAlignment="1">
      <alignment horizontal="center"/>
    </xf>
    <xf numFmtId="164" fontId="3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8" fontId="3" fillId="0" borderId="0" xfId="0" applyNumberFormat="1" applyFont="1" applyAlignment="1">
      <alignment horizontal="center"/>
    </xf>
    <xf numFmtId="165" fontId="6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indent="1"/>
    </xf>
    <xf numFmtId="168" fontId="3" fillId="0" borderId="0" xfId="0" applyNumberFormat="1" applyFont="1"/>
    <xf numFmtId="164" fontId="4" fillId="0" borderId="0" xfId="0" applyNumberFormat="1" applyFont="1" applyFill="1"/>
    <xf numFmtId="0" fontId="5" fillId="0" borderId="0" xfId="0" applyFont="1" applyAlignment="1">
      <alignment horizontal="left" indent="2"/>
    </xf>
    <xf numFmtId="0" fontId="3" fillId="0" borderId="0" xfId="0" quotePrefix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indent="1"/>
    </xf>
    <xf numFmtId="0" fontId="3" fillId="2" borderId="0" xfId="0" applyFont="1" applyFill="1"/>
    <xf numFmtId="0" fontId="4" fillId="0" borderId="0" xfId="0" applyFont="1" applyBorder="1" applyAlignment="1">
      <alignment horizontal="center" vertical="center" wrapText="1"/>
    </xf>
    <xf numFmtId="165" fontId="7" fillId="0" borderId="0" xfId="1" applyNumberFormat="1" applyFont="1" applyFill="1"/>
    <xf numFmtId="164" fontId="7" fillId="0" borderId="0" xfId="1" applyNumberFormat="1" applyFont="1" applyFill="1"/>
    <xf numFmtId="0" fontId="3" fillId="0" borderId="0" xfId="0" applyFont="1" applyBorder="1" applyAlignment="1">
      <alignment horizontal="left" wrapText="1"/>
    </xf>
    <xf numFmtId="164" fontId="8" fillId="0" borderId="0" xfId="1" applyNumberFormat="1" applyFont="1" applyFill="1"/>
    <xf numFmtId="165" fontId="9" fillId="0" borderId="0" xfId="1" applyNumberFormat="1" applyFont="1" applyFill="1"/>
    <xf numFmtId="42" fontId="3" fillId="0" borderId="0" xfId="0" applyNumberFormat="1" applyFont="1"/>
    <xf numFmtId="0" fontId="3" fillId="0" borderId="0" xfId="0" applyFont="1" applyBorder="1" applyAlignment="1">
      <alignment horizontal="left" wrapText="1" indent="3"/>
    </xf>
    <xf numFmtId="165" fontId="7" fillId="3" borderId="0" xfId="1" applyNumberFormat="1" applyFont="1" applyFill="1"/>
    <xf numFmtId="164" fontId="8" fillId="3" borderId="0" xfId="1" applyNumberFormat="1" applyFont="1" applyFill="1"/>
    <xf numFmtId="0" fontId="3" fillId="2" borderId="0" xfId="0" applyFont="1" applyFill="1" applyBorder="1" applyAlignment="1">
      <alignment horizontal="left" wrapText="1"/>
    </xf>
    <xf numFmtId="165" fontId="9" fillId="2" borderId="0" xfId="1" applyNumberFormat="1" applyFont="1" applyFill="1"/>
    <xf numFmtId="165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/>
    <xf numFmtId="41" fontId="3" fillId="0" borderId="0" xfId="0" applyNumberFormat="1" applyFont="1"/>
    <xf numFmtId="165" fontId="4" fillId="0" borderId="0" xfId="0" applyNumberFormat="1" applyFont="1"/>
    <xf numFmtId="164" fontId="3" fillId="0" borderId="0" xfId="0" applyNumberFormat="1" applyFont="1" applyBorder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6" fillId="0" borderId="0" xfId="0" applyNumberFormat="1" applyFont="1"/>
    <xf numFmtId="0" fontId="4" fillId="0" borderId="0" xfId="0" applyFont="1"/>
    <xf numFmtId="0" fontId="5" fillId="2" borderId="0" xfId="0" applyFont="1" applyFill="1"/>
    <xf numFmtId="0" fontId="7" fillId="0" borderId="0" xfId="0" applyFont="1"/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3"/>
    </xf>
    <xf numFmtId="0" fontId="10" fillId="0" borderId="0" xfId="0" applyFont="1" applyAlignment="1"/>
    <xf numFmtId="9" fontId="3" fillId="0" borderId="0" xfId="2" applyFont="1"/>
    <xf numFmtId="0" fontId="10" fillId="2" borderId="0" xfId="0" applyFont="1" applyFill="1"/>
    <xf numFmtId="165" fontId="3" fillId="0" borderId="0" xfId="0" quotePrefix="1" applyNumberFormat="1" applyFont="1"/>
    <xf numFmtId="164" fontId="3" fillId="0" borderId="0" xfId="0" quotePrefix="1" applyNumberFormat="1" applyFont="1"/>
    <xf numFmtId="164" fontId="4" fillId="0" borderId="0" xfId="0" quotePrefix="1" applyNumberFormat="1" applyFont="1"/>
    <xf numFmtId="0" fontId="8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12" fillId="0" borderId="0" xfId="0" applyFont="1"/>
    <xf numFmtId="0" fontId="4" fillId="5" borderId="0" xfId="0" applyFont="1" applyFill="1" applyAlignment="1">
      <alignment horizontal="center"/>
    </xf>
    <xf numFmtId="42" fontId="3" fillId="0" borderId="0" xfId="1" applyNumberFormat="1" applyFont="1"/>
    <xf numFmtId="41" fontId="3" fillId="0" borderId="0" xfId="1" applyNumberFormat="1" applyFont="1"/>
    <xf numFmtId="0" fontId="12" fillId="0" borderId="0" xfId="0" applyFont="1" applyAlignment="1">
      <alignment horizontal="center"/>
    </xf>
    <xf numFmtId="41" fontId="4" fillId="0" borderId="0" xfId="1" applyNumberFormat="1" applyFont="1"/>
    <xf numFmtId="165" fontId="4" fillId="0" borderId="0" xfId="0" quotePrefix="1" applyNumberFormat="1" applyFont="1"/>
    <xf numFmtId="42" fontId="6" fillId="0" borderId="0" xfId="0" applyNumberFormat="1" applyFont="1"/>
    <xf numFmtId="165" fontId="4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65" fontId="12" fillId="0" borderId="0" xfId="0" quotePrefix="1" applyNumberFormat="1" applyFont="1" applyAlignment="1">
      <alignment horizontal="center"/>
    </xf>
    <xf numFmtId="0" fontId="3" fillId="2" borderId="0" xfId="0" quotePrefix="1" applyFont="1" applyFill="1"/>
    <xf numFmtId="0" fontId="3" fillId="0" borderId="0" xfId="0" applyFont="1" applyAlignment="1">
      <alignment vertical="center" wrapText="1"/>
    </xf>
    <xf numFmtId="0" fontId="12" fillId="0" borderId="0" xfId="0" quotePrefix="1" applyFont="1" applyAlignment="1">
      <alignment horizontal="center"/>
    </xf>
    <xf numFmtId="0" fontId="3" fillId="0" borderId="0" xfId="0" applyFont="1" applyAlignment="1">
      <alignment wrapText="1"/>
    </xf>
    <xf numFmtId="9" fontId="3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0" fontId="3" fillId="4" borderId="0" xfId="0" applyFont="1" applyFill="1"/>
    <xf numFmtId="164" fontId="3" fillId="4" borderId="0" xfId="0" applyNumberFormat="1" applyFont="1" applyFill="1"/>
    <xf numFmtId="3" fontId="3" fillId="4" borderId="0" xfId="0" quotePrefix="1" applyNumberFormat="1" applyFont="1" applyFill="1"/>
    <xf numFmtId="3" fontId="3" fillId="4" borderId="0" xfId="0" applyNumberFormat="1" applyFont="1" applyFill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3" fillId="0" borderId="0" xfId="0" applyFont="1" applyAlignment="1">
      <alignment horizontal="left" vertical="center" wrapText="1"/>
    </xf>
    <xf numFmtId="165" fontId="6" fillId="0" borderId="0" xfId="0" applyNumberFormat="1" applyFont="1" applyAlignment="1"/>
    <xf numFmtId="165" fontId="14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quotePrefix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left" wrapText="1" indent="2"/>
    </xf>
    <xf numFmtId="165" fontId="15" fillId="0" borderId="0" xfId="0" applyNumberFormat="1" applyFont="1"/>
    <xf numFmtId="0" fontId="1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8" fontId="3" fillId="0" borderId="0" xfId="2" applyNumberFormat="1" applyFont="1" applyFill="1" applyAlignment="1">
      <alignment horizontal="center"/>
    </xf>
    <xf numFmtId="9" fontId="3" fillId="4" borderId="0" xfId="2" applyFont="1" applyFill="1"/>
    <xf numFmtId="0" fontId="4" fillId="2" borderId="0" xfId="0" applyFont="1" applyFill="1"/>
    <xf numFmtId="0" fontId="3" fillId="0" borderId="0" xfId="0" applyFont="1" applyFill="1" applyBorder="1"/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7" fontId="4" fillId="0" borderId="0" xfId="3" applyNumberFormat="1" applyFont="1"/>
    <xf numFmtId="168" fontId="3" fillId="0" borderId="0" xfId="4" quotePrefix="1" applyNumberFormat="1" applyFont="1" applyAlignment="1">
      <alignment horizontal="center"/>
    </xf>
    <xf numFmtId="0" fontId="1" fillId="0" borderId="0" xfId="3"/>
    <xf numFmtId="0" fontId="3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168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indent="2"/>
    </xf>
    <xf numFmtId="165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7" borderId="0" xfId="3" applyFont="1" applyFill="1" applyAlignment="1">
      <alignment horizontal="center"/>
    </xf>
    <xf numFmtId="0" fontId="4" fillId="8" borderId="0" xfId="3" applyFont="1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0" fontId="17" fillId="7" borderId="0" xfId="3" applyFont="1" applyFill="1" applyAlignment="1">
      <alignment horizontal="center"/>
    </xf>
    <xf numFmtId="0" fontId="17" fillId="8" borderId="0" xfId="3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8" fillId="8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3" fillId="6" borderId="0" xfId="0" applyFont="1" applyFill="1" applyAlignment="1">
      <alignment horizontal="center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wrapText="1" inden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 indent="3"/>
    </xf>
    <xf numFmtId="0" fontId="3" fillId="0" borderId="0" xfId="0" applyFont="1" applyBorder="1" applyAlignment="1">
      <alignment horizontal="right" wrapText="1" indent="1"/>
    </xf>
    <xf numFmtId="0" fontId="1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9" fontId="3" fillId="0" borderId="0" xfId="2" applyFont="1" applyAlignment="1">
      <alignment horizontal="center"/>
    </xf>
    <xf numFmtId="0" fontId="3" fillId="0" borderId="0" xfId="0" quotePrefix="1" applyFont="1" applyAlignment="1">
      <alignment wrapText="1"/>
    </xf>
    <xf numFmtId="165" fontId="4" fillId="0" borderId="0" xfId="0" applyNumberFormat="1" applyFont="1" applyAlignment="1">
      <alignment horizontal="center"/>
    </xf>
    <xf numFmtId="0" fontId="3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3" fillId="0" borderId="0" xfId="0" applyFont="1" applyAlignment="1"/>
  </cellXfs>
  <cellStyles count="5">
    <cellStyle name="Comma" xfId="1" builtinId="3"/>
    <cellStyle name="Normal" xfId="0" builtinId="0"/>
    <cellStyle name="Normal 5" xfId="3" xr:uid="{F8A7E884-64EA-453C-B504-90B4302DC13F}"/>
    <cellStyle name="Percent" xfId="2" builtinId="5"/>
    <cellStyle name="Percent 4" xfId="4" xr:uid="{BB059FB2-E3BF-46C5-9689-FA3907DB33C5}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CC"/>
      <color rgb="FF66FFFF"/>
      <color rgb="FFCCECFF"/>
      <color rgb="FFCCFFFF"/>
      <color rgb="FFFFFFCC"/>
      <color rgb="FFCCFF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476249</xdr:colOff>
      <xdr:row>112</xdr:row>
      <xdr:rowOff>76200</xdr:rowOff>
    </xdr:from>
    <xdr:to>
      <xdr:col>10</xdr:col>
      <xdr:colOff>655318</xdr:colOff>
      <xdr:row>116</xdr:row>
      <xdr:rowOff>152400</xdr:rowOff>
    </xdr:to>
    <xdr:sp macro="" textlink="">
      <xdr:nvSpPr>
        <xdr:cNvPr id="27" name="Right Brac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11096624" y="18849975"/>
          <a:ext cx="179069" cy="876300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10</xdr:col>
      <xdr:colOff>495301</xdr:colOff>
      <xdr:row>117</xdr:row>
      <xdr:rowOff>47626</xdr:rowOff>
    </xdr:from>
    <xdr:to>
      <xdr:col>10</xdr:col>
      <xdr:colOff>809625</xdr:colOff>
      <xdr:row>122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0951" y="19850101"/>
          <a:ext cx="314324" cy="952499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485775</xdr:colOff>
      <xdr:row>122</xdr:row>
      <xdr:rowOff>9525</xdr:rowOff>
    </xdr:from>
    <xdr:to>
      <xdr:col>10</xdr:col>
      <xdr:colOff>802794</xdr:colOff>
      <xdr:row>126</xdr:row>
      <xdr:rowOff>171450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72875" y="20812125"/>
          <a:ext cx="317019" cy="962025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495300</xdr:colOff>
      <xdr:row>127</xdr:row>
      <xdr:rowOff>9525</xdr:rowOff>
    </xdr:from>
    <xdr:to>
      <xdr:col>10</xdr:col>
      <xdr:colOff>812319</xdr:colOff>
      <xdr:row>130</xdr:row>
      <xdr:rowOff>180975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15675" y="21783675"/>
          <a:ext cx="31701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showGridLines="0" workbookViewId="0">
      <selection activeCell="A3" sqref="A3"/>
    </sheetView>
  </sheetViews>
  <sheetFormatPr defaultRowHeight="15.75" x14ac:dyDescent="0.25"/>
  <cols>
    <col min="1" max="1" width="5.625" customWidth="1"/>
    <col min="2" max="2" width="45.625" customWidth="1"/>
    <col min="3" max="3" width="52.625" customWidth="1"/>
    <col min="4" max="5" width="10.625" customWidth="1"/>
  </cols>
  <sheetData>
    <row r="1" spans="1:12" ht="26.1" customHeight="1" x14ac:dyDescent="0.25">
      <c r="A1" s="3"/>
      <c r="B1" s="129" t="s">
        <v>301</v>
      </c>
      <c r="C1" s="129"/>
      <c r="D1" s="129"/>
      <c r="E1" s="56"/>
      <c r="F1" s="3"/>
      <c r="G1" s="3"/>
      <c r="H1" s="3"/>
      <c r="I1" s="3"/>
      <c r="J1" s="3"/>
      <c r="K1" s="3"/>
      <c r="L1" s="3"/>
    </row>
    <row r="2" spans="1:12" ht="45" customHeight="1" x14ac:dyDescent="0.25">
      <c r="A2" s="3"/>
      <c r="B2" s="130" t="s">
        <v>259</v>
      </c>
      <c r="C2" s="130"/>
      <c r="D2" s="130"/>
      <c r="E2" s="57"/>
      <c r="F2" s="3"/>
      <c r="G2" s="3"/>
      <c r="H2" s="3"/>
      <c r="I2" s="3"/>
      <c r="J2" s="3"/>
      <c r="K2" s="3"/>
      <c r="L2" s="3"/>
    </row>
    <row r="3" spans="1:12" ht="30" customHeight="1" x14ac:dyDescent="0.25">
      <c r="A3" s="3"/>
      <c r="B3" s="113" t="s">
        <v>166</v>
      </c>
      <c r="C3" s="113" t="s">
        <v>303</v>
      </c>
      <c r="D3" s="3"/>
      <c r="E3" s="3"/>
      <c r="F3" s="3"/>
      <c r="G3" s="3"/>
      <c r="H3" s="3"/>
      <c r="I3" s="3"/>
      <c r="J3" s="3"/>
      <c r="K3" s="3"/>
      <c r="L3" s="3"/>
    </row>
    <row r="4" spans="1:12" ht="17.25" x14ac:dyDescent="0.35">
      <c r="A4" s="3"/>
      <c r="B4" s="111" t="s">
        <v>260</v>
      </c>
      <c r="C4" s="51" t="s">
        <v>261</v>
      </c>
      <c r="D4" s="131" t="s">
        <v>262</v>
      </c>
      <c r="E4" s="131"/>
      <c r="F4" s="3"/>
      <c r="G4" s="3"/>
      <c r="H4" s="3"/>
      <c r="I4" s="3"/>
      <c r="J4" s="3"/>
      <c r="K4" s="3"/>
      <c r="L4" s="3"/>
    </row>
    <row r="5" spans="1:12" x14ac:dyDescent="0.25">
      <c r="A5" s="3"/>
      <c r="B5" s="56" t="s">
        <v>263</v>
      </c>
      <c r="C5" s="3" t="s">
        <v>302</v>
      </c>
      <c r="D5" s="128" t="s">
        <v>264</v>
      </c>
      <c r="E5" s="128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56" t="s">
        <v>255</v>
      </c>
      <c r="C7" s="3" t="s">
        <v>265</v>
      </c>
      <c r="D7" s="128" t="s">
        <v>266</v>
      </c>
      <c r="E7" s="128"/>
      <c r="F7" s="3"/>
      <c r="G7" s="3"/>
      <c r="H7" s="3"/>
      <c r="I7" s="3"/>
      <c r="J7" s="3"/>
      <c r="K7" s="3"/>
      <c r="L7" s="3"/>
    </row>
    <row r="8" spans="1:12" x14ac:dyDescent="0.25">
      <c r="A8" s="3"/>
      <c r="B8" s="56"/>
      <c r="C8" s="3" t="s">
        <v>114</v>
      </c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56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56" t="s">
        <v>256</v>
      </c>
      <c r="C10" s="3" t="s">
        <v>265</v>
      </c>
      <c r="D10" s="128" t="s">
        <v>266</v>
      </c>
      <c r="E10" s="128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56"/>
      <c r="C11" s="3" t="s">
        <v>131</v>
      </c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56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56" t="s">
        <v>257</v>
      </c>
      <c r="C13" s="3" t="s">
        <v>265</v>
      </c>
      <c r="D13" s="128" t="s">
        <v>266</v>
      </c>
      <c r="E13" s="128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56"/>
      <c r="C14" s="3" t="s">
        <v>159</v>
      </c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56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56" t="s">
        <v>258</v>
      </c>
      <c r="C16" s="3" t="s">
        <v>265</v>
      </c>
      <c r="D16" s="128" t="s">
        <v>266</v>
      </c>
      <c r="E16" s="128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 t="s">
        <v>163</v>
      </c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56" t="s">
        <v>36</v>
      </c>
      <c r="C19" s="3" t="s">
        <v>267</v>
      </c>
      <c r="D19" s="128" t="s">
        <v>268</v>
      </c>
      <c r="E19" s="128"/>
      <c r="F19" s="3"/>
      <c r="G19" s="3"/>
      <c r="H19" s="3"/>
      <c r="I19" s="3"/>
      <c r="J19" s="3"/>
      <c r="K19" s="3"/>
      <c r="L19" s="3"/>
    </row>
    <row r="20" spans="1:12" ht="45.75" x14ac:dyDescent="0.25">
      <c r="A20" s="3"/>
      <c r="B20" s="3"/>
      <c r="C20" s="82" t="s">
        <v>269</v>
      </c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3"/>
      <c r="B22" s="56" t="s">
        <v>37</v>
      </c>
      <c r="C22" s="3" t="s">
        <v>267</v>
      </c>
      <c r="D22" s="128" t="s">
        <v>270</v>
      </c>
      <c r="E22" s="128"/>
      <c r="F22" s="3"/>
      <c r="G22" s="3"/>
      <c r="H22" s="3"/>
      <c r="I22" s="3"/>
      <c r="J22" s="3"/>
      <c r="K22" s="3"/>
      <c r="L22" s="3"/>
    </row>
    <row r="23" spans="1:12" ht="45.75" x14ac:dyDescent="0.25">
      <c r="A23" s="3"/>
      <c r="B23" s="3"/>
      <c r="C23" s="82" t="s">
        <v>271</v>
      </c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3"/>
      <c r="B25" s="56" t="s">
        <v>41</v>
      </c>
      <c r="C25" s="3" t="s">
        <v>272</v>
      </c>
      <c r="D25" s="128" t="s">
        <v>273</v>
      </c>
      <c r="E25" s="128"/>
      <c r="F25" s="3"/>
      <c r="G25" s="3"/>
      <c r="H25" s="3"/>
      <c r="I25" s="3"/>
      <c r="J25" s="3"/>
      <c r="K25" s="3"/>
      <c r="L25" s="3"/>
    </row>
    <row r="26" spans="1:12" x14ac:dyDescent="0.25">
      <c r="A26" s="3"/>
      <c r="B26" s="3"/>
      <c r="C26" s="3" t="s">
        <v>274</v>
      </c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/>
      <c r="B27" s="3"/>
      <c r="C27" s="44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56" t="s">
        <v>275</v>
      </c>
      <c r="C28" s="3" t="s">
        <v>272</v>
      </c>
      <c r="D28" s="128" t="s">
        <v>276</v>
      </c>
      <c r="E28" s="128"/>
      <c r="F28" s="3"/>
      <c r="G28" s="3"/>
      <c r="H28" s="3"/>
      <c r="I28" s="3"/>
      <c r="J28" s="3"/>
      <c r="K28" s="3"/>
      <c r="L28" s="3"/>
    </row>
    <row r="29" spans="1:12" ht="30.75" x14ac:dyDescent="0.25">
      <c r="A29" s="3"/>
      <c r="B29" s="3"/>
      <c r="C29" s="82" t="s">
        <v>277</v>
      </c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3"/>
      <c r="B31" s="56" t="s">
        <v>40</v>
      </c>
      <c r="C31" s="3" t="s">
        <v>272</v>
      </c>
      <c r="D31" s="128" t="s">
        <v>276</v>
      </c>
      <c r="E31" s="128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 t="s">
        <v>278</v>
      </c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56" t="s">
        <v>279</v>
      </c>
      <c r="C34" s="3" t="s">
        <v>272</v>
      </c>
      <c r="D34" s="128" t="s">
        <v>276</v>
      </c>
      <c r="E34" s="128"/>
      <c r="F34" s="3"/>
      <c r="G34" s="3"/>
      <c r="H34" s="3"/>
      <c r="I34" s="3"/>
      <c r="J34" s="3"/>
      <c r="K34" s="3"/>
      <c r="L34" s="3"/>
    </row>
    <row r="35" spans="1:12" ht="30.75" x14ac:dyDescent="0.25">
      <c r="A35" s="3"/>
      <c r="B35" s="3"/>
      <c r="C35" s="82" t="s">
        <v>280</v>
      </c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/>
      <c r="B36" s="3"/>
      <c r="C36" s="82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/>
      <c r="B37" s="56" t="s">
        <v>281</v>
      </c>
      <c r="C37" s="3" t="s">
        <v>282</v>
      </c>
      <c r="D37" s="128" t="s">
        <v>283</v>
      </c>
      <c r="E37" s="128"/>
      <c r="F37" s="3"/>
      <c r="G37" s="3"/>
      <c r="H37" s="3"/>
      <c r="I37" s="3"/>
      <c r="J37" s="3"/>
      <c r="K37" s="3"/>
      <c r="L37" s="3"/>
    </row>
    <row r="38" spans="1:12" ht="30.75" x14ac:dyDescent="0.25">
      <c r="A38" s="3"/>
      <c r="B38" s="56"/>
      <c r="C38" s="82" t="s">
        <v>284</v>
      </c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56" t="s">
        <v>285</v>
      </c>
      <c r="C40" s="3" t="s">
        <v>282</v>
      </c>
      <c r="D40" s="128" t="s">
        <v>283</v>
      </c>
      <c r="E40" s="128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 t="s">
        <v>286</v>
      </c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56" t="s">
        <v>287</v>
      </c>
      <c r="C43" s="3" t="s">
        <v>282</v>
      </c>
      <c r="D43" s="128" t="s">
        <v>288</v>
      </c>
      <c r="E43" s="128"/>
      <c r="F43" s="3"/>
      <c r="G43" s="3"/>
      <c r="H43" s="3"/>
      <c r="I43" s="3"/>
      <c r="J43" s="3"/>
      <c r="K43" s="3"/>
      <c r="L43" s="3"/>
    </row>
    <row r="44" spans="1:12" ht="30.75" x14ac:dyDescent="0.25">
      <c r="A44" s="3"/>
      <c r="B44" s="3"/>
      <c r="C44" s="82" t="s">
        <v>289</v>
      </c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112" t="s">
        <v>290</v>
      </c>
      <c r="C46" s="3" t="s">
        <v>291</v>
      </c>
      <c r="D46" s="128" t="s">
        <v>292</v>
      </c>
      <c r="E46" s="128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82" t="s">
        <v>293</v>
      </c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/>
      <c r="B49" s="56" t="s">
        <v>89</v>
      </c>
      <c r="C49" s="3" t="s">
        <v>291</v>
      </c>
      <c r="D49" s="128" t="s">
        <v>294</v>
      </c>
      <c r="E49" s="128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 t="s">
        <v>295</v>
      </c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56" t="s">
        <v>296</v>
      </c>
      <c r="C52" s="3" t="s">
        <v>291</v>
      </c>
      <c r="D52" s="128" t="s">
        <v>294</v>
      </c>
      <c r="E52" s="128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 t="s">
        <v>297</v>
      </c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56" t="s">
        <v>80</v>
      </c>
      <c r="C55" s="3" t="s">
        <v>291</v>
      </c>
      <c r="D55" s="128" t="s">
        <v>298</v>
      </c>
      <c r="E55" s="128"/>
      <c r="F55" s="3"/>
      <c r="G55" s="3"/>
      <c r="H55" s="3"/>
      <c r="I55" s="3"/>
      <c r="J55" s="3"/>
      <c r="K55" s="3"/>
      <c r="L55" s="3"/>
    </row>
    <row r="56" spans="1:12" ht="30.75" x14ac:dyDescent="0.25">
      <c r="A56" s="3"/>
      <c r="B56" s="3"/>
      <c r="C56" s="82" t="s">
        <v>299</v>
      </c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56" t="s">
        <v>88</v>
      </c>
      <c r="C58" s="3" t="s">
        <v>291</v>
      </c>
      <c r="D58" s="128" t="s">
        <v>298</v>
      </c>
      <c r="E58" s="128"/>
      <c r="F58" s="3"/>
      <c r="G58" s="3"/>
      <c r="H58" s="3"/>
      <c r="I58" s="3"/>
      <c r="J58" s="3"/>
      <c r="K58" s="3"/>
      <c r="L58" s="3"/>
    </row>
    <row r="59" spans="1:12" ht="30.75" x14ac:dyDescent="0.25">
      <c r="A59" s="3"/>
      <c r="B59" s="3"/>
      <c r="C59" s="82" t="s">
        <v>300</v>
      </c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</sheetData>
  <mergeCells count="22">
    <mergeCell ref="D28:E28"/>
    <mergeCell ref="B1:D1"/>
    <mergeCell ref="B2:D2"/>
    <mergeCell ref="D4:E4"/>
    <mergeCell ref="D5:E5"/>
    <mergeCell ref="D7:E7"/>
    <mergeCell ref="D10:E10"/>
    <mergeCell ref="D13:E13"/>
    <mergeCell ref="D16:E16"/>
    <mergeCell ref="D19:E19"/>
    <mergeCell ref="D22:E22"/>
    <mergeCell ref="D25:E25"/>
    <mergeCell ref="D49:E49"/>
    <mergeCell ref="D52:E52"/>
    <mergeCell ref="D55:E55"/>
    <mergeCell ref="D58:E58"/>
    <mergeCell ref="D31:E31"/>
    <mergeCell ref="D34:E34"/>
    <mergeCell ref="D37:E37"/>
    <mergeCell ref="D40:E40"/>
    <mergeCell ref="D43:E43"/>
    <mergeCell ref="D46:E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137"/>
  <sheetViews>
    <sheetView showGridLines="0" tabSelected="1" zoomScaleNormal="100" workbookViewId="0">
      <selection activeCell="A2" sqref="A2"/>
    </sheetView>
  </sheetViews>
  <sheetFormatPr defaultRowHeight="15.75" x14ac:dyDescent="0.25"/>
  <cols>
    <col min="1" max="1" width="35.625" customWidth="1"/>
    <col min="2" max="7" width="12.625" customWidth="1"/>
    <col min="9" max="10" width="10.625" customWidth="1"/>
    <col min="11" max="11" width="11.625" customWidth="1"/>
    <col min="12" max="17" width="13.25" customWidth="1"/>
  </cols>
  <sheetData>
    <row r="1" spans="1:19" ht="16.5" thickTop="1" x14ac:dyDescent="0.25">
      <c r="A1" s="2" t="s">
        <v>166</v>
      </c>
      <c r="B1" s="3"/>
      <c r="C1" s="3"/>
      <c r="D1" s="3"/>
      <c r="E1" s="3"/>
      <c r="F1" s="3"/>
      <c r="G1" s="3"/>
      <c r="H1" s="3"/>
      <c r="I1" s="142" t="s">
        <v>250</v>
      </c>
      <c r="J1" s="143"/>
      <c r="K1" s="144"/>
      <c r="L1" s="3"/>
      <c r="M1" s="3"/>
      <c r="N1" s="3"/>
      <c r="O1" s="3"/>
      <c r="P1" s="3"/>
      <c r="Q1" s="3"/>
      <c r="R1" s="3"/>
      <c r="S1" s="3"/>
    </row>
    <row r="2" spans="1:19" x14ac:dyDescent="0.25">
      <c r="A2" s="2"/>
      <c r="B2" s="3"/>
      <c r="C2" s="3"/>
      <c r="D2" s="3"/>
      <c r="E2" s="3"/>
      <c r="F2" s="3"/>
      <c r="G2" s="3"/>
      <c r="H2" s="3"/>
      <c r="I2" s="145"/>
      <c r="J2" s="146"/>
      <c r="K2" s="147"/>
      <c r="L2" s="3"/>
      <c r="M2" s="3"/>
      <c r="N2" s="3"/>
      <c r="O2" s="3"/>
      <c r="P2" s="3"/>
      <c r="Q2" s="3"/>
      <c r="R2" s="3"/>
      <c r="S2" s="3"/>
    </row>
    <row r="3" spans="1:19" ht="16.5" thickBot="1" x14ac:dyDescent="0.3">
      <c r="A3" s="26" t="s">
        <v>255</v>
      </c>
      <c r="B3" s="3"/>
      <c r="C3" s="3"/>
      <c r="D3" s="3"/>
      <c r="E3" s="3"/>
      <c r="F3" s="3"/>
      <c r="G3" s="3"/>
      <c r="H3" s="3"/>
      <c r="I3" s="148"/>
      <c r="J3" s="149"/>
      <c r="K3" s="150"/>
      <c r="L3" s="3"/>
      <c r="M3" s="3"/>
      <c r="N3" s="3"/>
      <c r="O3" s="3"/>
      <c r="P3" s="3"/>
      <c r="Q3" s="3"/>
      <c r="R3" s="3"/>
      <c r="S3" s="3"/>
    </row>
    <row r="4" spans="1:19" ht="16.5" thickTop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128" t="s">
        <v>113</v>
      </c>
      <c r="B5" s="128"/>
      <c r="C5" s="128"/>
      <c r="D5" s="128"/>
      <c r="E5" s="128"/>
      <c r="F5" s="128"/>
      <c r="G5" s="12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customHeight="1" x14ac:dyDescent="0.25">
      <c r="A6" s="151" t="s">
        <v>114</v>
      </c>
      <c r="B6" s="151"/>
      <c r="C6" s="151"/>
      <c r="D6" s="151"/>
      <c r="E6" s="151"/>
      <c r="F6" s="151"/>
      <c r="G6" s="151"/>
      <c r="H6" s="3"/>
      <c r="I6" s="3"/>
      <c r="J6" s="3"/>
      <c r="K6" s="3"/>
      <c r="L6" s="3"/>
      <c r="P6" s="3"/>
      <c r="Q6" s="3"/>
      <c r="R6" s="3"/>
      <c r="S6" s="3"/>
    </row>
    <row r="7" spans="1:19" ht="20.25" x14ac:dyDescent="0.55000000000000004">
      <c r="A7" s="3"/>
      <c r="B7" s="131" t="s">
        <v>115</v>
      </c>
      <c r="C7" s="131"/>
      <c r="D7" s="131" t="s">
        <v>116</v>
      </c>
      <c r="E7" s="131"/>
      <c r="F7" s="131" t="s">
        <v>48</v>
      </c>
      <c r="G7" s="131"/>
      <c r="H7" s="3"/>
      <c r="I7" s="152" t="s">
        <v>208</v>
      </c>
      <c r="J7" s="152"/>
      <c r="K7" s="152"/>
      <c r="L7" s="139" t="str">
        <f>CONCATENATE("For Fiscal Year ",YEAR(B8))</f>
        <v>For Fiscal Year 2020</v>
      </c>
      <c r="M7" s="139"/>
      <c r="N7" s="139"/>
      <c r="O7" s="140" t="str">
        <f>CONCATENATE("For Prior Fiscal Year ",YEAR(E8))</f>
        <v>For Prior Fiscal Year 2019</v>
      </c>
      <c r="P7" s="140"/>
      <c r="Q7" s="140"/>
      <c r="R7" s="3"/>
      <c r="S7" s="3"/>
    </row>
    <row r="8" spans="1:19" ht="18" x14ac:dyDescent="0.4">
      <c r="A8" s="3"/>
      <c r="B8" s="4">
        <v>44012</v>
      </c>
      <c r="C8" s="4">
        <v>43646</v>
      </c>
      <c r="D8" s="4">
        <f>+B8</f>
        <v>44012</v>
      </c>
      <c r="E8" s="4">
        <f>C8</f>
        <v>43646</v>
      </c>
      <c r="F8" s="4">
        <f>+D8</f>
        <v>44012</v>
      </c>
      <c r="G8" s="4">
        <f>E8</f>
        <v>43646</v>
      </c>
      <c r="H8" s="3"/>
      <c r="I8" s="5" t="s">
        <v>202</v>
      </c>
      <c r="J8" s="5" t="s">
        <v>203</v>
      </c>
      <c r="K8" s="5" t="s">
        <v>249</v>
      </c>
      <c r="L8" s="124" t="s">
        <v>204</v>
      </c>
      <c r="M8" s="124" t="s">
        <v>311</v>
      </c>
      <c r="N8" s="124" t="s">
        <v>312</v>
      </c>
      <c r="O8" s="124" t="s">
        <v>204</v>
      </c>
      <c r="P8" s="124" t="s">
        <v>311</v>
      </c>
      <c r="Q8" s="124" t="s">
        <v>312</v>
      </c>
      <c r="R8" s="3"/>
      <c r="S8" s="3"/>
    </row>
    <row r="9" spans="1:19" ht="18" x14ac:dyDescent="0.4">
      <c r="A9" s="6" t="s">
        <v>117</v>
      </c>
      <c r="B9" s="3"/>
      <c r="C9" s="3"/>
      <c r="D9" s="3"/>
      <c r="E9" s="3"/>
      <c r="F9" s="3"/>
      <c r="G9" s="3"/>
      <c r="H9" s="3"/>
      <c r="I9" s="7"/>
      <c r="J9" s="7"/>
      <c r="K9" s="3"/>
      <c r="L9" s="139" t="s">
        <v>313</v>
      </c>
      <c r="M9" s="139"/>
      <c r="N9" s="139"/>
      <c r="O9" s="133" t="s">
        <v>313</v>
      </c>
      <c r="P9" s="133"/>
      <c r="Q9" s="133"/>
      <c r="R9" s="3"/>
      <c r="S9" s="3"/>
    </row>
    <row r="10" spans="1:19" x14ac:dyDescent="0.25">
      <c r="A10" s="19" t="s">
        <v>118</v>
      </c>
      <c r="B10" s="8">
        <v>1685609</v>
      </c>
      <c r="C10" s="8">
        <f>1197998-316421+80924+18-368684</f>
        <v>593835</v>
      </c>
      <c r="D10" s="8">
        <v>5387</v>
      </c>
      <c r="E10" s="8">
        <f>1224</f>
        <v>1224</v>
      </c>
      <c r="F10" s="8">
        <f>B10+D10</f>
        <v>1690996</v>
      </c>
      <c r="G10" s="8">
        <f>C10+E10</f>
        <v>595059</v>
      </c>
      <c r="H10" s="3"/>
      <c r="I10" s="9">
        <f>IF(OR(B10&lt;=0,C10&lt;=0),"na   ",IF((B10/C10)-1&gt;$K$26,"nm   ",(B10/C10)-1))</f>
        <v>1.8385140653548544</v>
      </c>
      <c r="J10" s="9" t="str">
        <f>IF(OR(D10&lt;=0,E10&lt;=0),"na   ",IF((D10/E10)-1&gt;$K$26,"nm   ",(D10/E10)-1))</f>
        <v xml:space="preserve">nm   </v>
      </c>
      <c r="K10" s="9">
        <f>IF(OR(F10&lt;=0,G10&lt;=0),"na   ",IF((F10/G10)-1&gt;$K$26,"nm   ",(F10/G10)-1))</f>
        <v>1.8417282992106667</v>
      </c>
      <c r="L10" s="14">
        <f>IF(OR(B10&lt;=0,$B$13&lt;=0),"na   ",IF((B10/$B$13)&gt;$K$26,"nm   ",(B10/$B$13)))</f>
        <v>0.15564594430257719</v>
      </c>
      <c r="M10" s="14">
        <f>IF(OR(D10&lt;=0,$D$13&lt;=0),"na   ",IF((D10/$D$13)&gt;$K$26,"nm   ",(D10/$D$13)))</f>
        <v>9.3331485299468109E-2</v>
      </c>
      <c r="N10" s="14">
        <f>IF(OR(F10&lt;=0,$F$13&lt;=0),"na   ",IF((F10/$F$13)&gt;$K$26,"nm   ",(F10/$F$13)))</f>
        <v>0.15531558990121133</v>
      </c>
      <c r="O10" s="14">
        <f>IF(OR(C10&lt;=0,$C$13&lt;=0),"na   ",IF((C10/$C$13)&gt;$K$26,"nm   ",(C10/$C$13)))</f>
        <v>6.4209394628029701E-2</v>
      </c>
      <c r="P10" s="14">
        <f>IF(OR(E10&lt;=0,$E$13&lt;=0),"na   ",IF((E10/$E$13)&gt;$K$26,"nm   ",(E10/$E$13)))</f>
        <v>4.1877651566990554E-2</v>
      </c>
      <c r="Q10" s="14">
        <f>IF(OR(G10&lt;=0,$G$13&lt;=0),"na   ",IF((G10/$G$13)&gt;$K$26,"nm   ",(G10/$G$13)))</f>
        <v>6.4139041379160933E-2</v>
      </c>
      <c r="R10" s="3"/>
      <c r="S10" s="3"/>
    </row>
    <row r="11" spans="1:19" x14ac:dyDescent="0.25">
      <c r="A11" s="19" t="s">
        <v>119</v>
      </c>
      <c r="B11" s="10">
        <f>75754+825+10849</f>
        <v>87428</v>
      </c>
      <c r="C11" s="10">
        <f>146552</f>
        <v>146552</v>
      </c>
      <c r="D11" s="10">
        <f>24178-D10</f>
        <v>18791</v>
      </c>
      <c r="E11" s="10">
        <f>3078-E10-3</f>
        <v>1851</v>
      </c>
      <c r="F11" s="10">
        <f t="shared" ref="F11:G11" si="0">B11+D11</f>
        <v>106219</v>
      </c>
      <c r="G11" s="10">
        <f t="shared" si="0"/>
        <v>148403</v>
      </c>
      <c r="H11" s="3"/>
      <c r="I11" s="9">
        <f>IF(OR(B11&lt;=0,C11&lt;=0),"na   ",IF((B11/C11)-1&gt;$K$26,"nm   ",(B11/C11)-1))</f>
        <v>-0.40343359353676511</v>
      </c>
      <c r="J11" s="9" t="str">
        <f>IF(OR(D11&lt;=0,E11&lt;=0),"na   ",IF((D11/E11)-1&gt;$K$26,"nm   ",(D11/E11)-1))</f>
        <v xml:space="preserve">nm   </v>
      </c>
      <c r="K11" s="9">
        <f>IF(OR(F11&lt;=0,G11&lt;=0),"na   ",IF((F11/G11)-1&gt;$K$26,"nm   ",(F11/G11)-1))</f>
        <v>-0.2842530137530912</v>
      </c>
      <c r="L11" s="14">
        <f>IF(OR(B11&lt;=0,$B$13&lt;=0),"na   ",IF((B11/$B$13)&gt;$K$26,"nm   ",(B11/$B$13)))</f>
        <v>8.0729360240042146E-3</v>
      </c>
      <c r="M11" s="14">
        <f>IF(OR(D11&lt;=0,$D$13&lt;=0),"na   ",IF((D11/$D$13)&gt;$K$26,"nm   ",(D11/$D$13)))</f>
        <v>0.32556004088774926</v>
      </c>
      <c r="N11" s="14">
        <f>IF(OR(F11&lt;=0,$F$13&lt;=0),"na   ",IF((F11/$F$13)&gt;$K$26,"nm   ",(F11/$F$13)))</f>
        <v>9.7560648539185002E-3</v>
      </c>
      <c r="O11" s="14">
        <f>IF(OR(C11&lt;=0,$C$13&lt;=0),"na   ",IF((C11/$C$13)&gt;$K$26,"nm   ",(C11/$C$13)))</f>
        <v>1.5846178149699845E-2</v>
      </c>
      <c r="P11" s="14">
        <f>IF(OR(E11&lt;=0,$E$13&lt;=0),"na   ",IF((E11/$E$13)&gt;$K$26,"nm   ",(E11/$E$13)))</f>
        <v>6.3329683864787184E-2</v>
      </c>
      <c r="Q11" s="14">
        <f>IF(OR(G11&lt;=0,$G$13&lt;=0),"na   ",IF((G11/$G$13)&gt;$K$26,"nm   ",(G11/$G$13)))</f>
        <v>1.5995768751992021E-2</v>
      </c>
      <c r="R11" s="3"/>
      <c r="S11" s="3"/>
    </row>
    <row r="12" spans="1:19" ht="17.25" x14ac:dyDescent="0.35">
      <c r="A12" s="19" t="s">
        <v>120</v>
      </c>
      <c r="B12" s="11">
        <v>9056728</v>
      </c>
      <c r="C12" s="11">
        <f>8588968-80942</f>
        <v>8508026</v>
      </c>
      <c r="D12" s="11">
        <v>33541</v>
      </c>
      <c r="E12" s="11">
        <f>26150+3</f>
        <v>26153</v>
      </c>
      <c r="F12" s="11">
        <f>B12+D12</f>
        <v>9090269</v>
      </c>
      <c r="G12" s="11">
        <f>C12+E12</f>
        <v>8534179</v>
      </c>
      <c r="H12" s="3"/>
      <c r="I12" s="9">
        <f>IF(OR(B12&lt;=0,C12&lt;=0),"na   ",IF((B12/C12)-1&gt;$K$26,"nm   ",(B12/C12)-1))</f>
        <v>6.4492280583063666E-2</v>
      </c>
      <c r="J12" s="9">
        <f>IF(OR(D12&lt;=0,E12&lt;=0),"na   ",IF((D12/E12)-1&gt;$K$26,"nm   ",(D12/E12)-1))</f>
        <v>0.28249149237181204</v>
      </c>
      <c r="K12" s="9">
        <f>IF(OR(F12&lt;=0,G12&lt;=0),"na   ",IF((F12/G12)-1&gt;$K$26,"nm   ",(F12/G12)-1))</f>
        <v>6.5160339383554033E-2</v>
      </c>
      <c r="L12" s="14">
        <f>IF(OR(B12&lt;=0,$B$13&lt;=0),"na   ",IF((B12/$B$13)&gt;$K$26,"nm   ",(B12/$B$13)))</f>
        <v>0.83628111967341856</v>
      </c>
      <c r="M12" s="14">
        <f>IF(OR(D12&lt;=0,$D$13&lt;=0),"na   ",IF((D12/$D$13)&gt;$K$26,"nm   ",(D12/$D$13)))</f>
        <v>0.58110847381278263</v>
      </c>
      <c r="N12" s="14">
        <f>IF(OR(F12&lt;=0,$F$13&lt;=0),"na   ",IF((F12/$F$13)&gt;$K$26,"nm   ",(F12/$F$13)))</f>
        <v>0.83492834524487014</v>
      </c>
      <c r="O12" s="14">
        <f>IF(OR(C12&lt;=0,$C$13&lt;=0),"na   ",IF((C12/$C$13)&gt;$K$26,"nm   ",(C12/$C$13)))</f>
        <v>0.91994442722227043</v>
      </c>
      <c r="P12" s="14">
        <f>IF(OR(E12&lt;=0,$E$13&lt;=0),"na   ",IF((E12/$E$13)&gt;$K$26,"nm   ",(E12/$E$13)))</f>
        <v>0.89479266456822226</v>
      </c>
      <c r="Q12" s="14">
        <f>IF(OR(G12&lt;=0,$G$13&lt;=0),"na   ",IF((G12/$G$13)&gt;$K$26,"nm   ",(G12/$G$13)))</f>
        <v>0.91986518986884702</v>
      </c>
      <c r="R12" s="3"/>
      <c r="S12" s="3"/>
    </row>
    <row r="13" spans="1:19" ht="17.25" x14ac:dyDescent="0.35">
      <c r="A13" s="12" t="s">
        <v>121</v>
      </c>
      <c r="B13" s="11">
        <f>SUM(B10:B12)</f>
        <v>10829765</v>
      </c>
      <c r="C13" s="11">
        <f t="shared" ref="C13:G13" si="1">SUM(C10:C12)</f>
        <v>9248413</v>
      </c>
      <c r="D13" s="11">
        <f t="shared" si="1"/>
        <v>57719</v>
      </c>
      <c r="E13" s="11">
        <f t="shared" si="1"/>
        <v>29228</v>
      </c>
      <c r="F13" s="11">
        <f>SUM(F10:F12)</f>
        <v>10887484</v>
      </c>
      <c r="G13" s="11">
        <f t="shared" si="1"/>
        <v>9277641</v>
      </c>
      <c r="H13" s="3"/>
      <c r="I13" s="9">
        <f>IF(OR(B13&lt;=0,C13&lt;=0),"na   ",IF((B13/C13)-1&gt;$K$26,"nm   ",(B13/C13)-1))</f>
        <v>0.17098630867804032</v>
      </c>
      <c r="J13" s="9">
        <f>IF(OR(D13&lt;=0,E13&lt;=0),"na   ",IF((D13/E13)-1&gt;$K$26,"nm   ",(D13/E13)-1))</f>
        <v>0.97478445326399332</v>
      </c>
      <c r="K13" s="9">
        <f>IF(OR(F13&lt;=0,G13&lt;=0),"na   ",IF((F13/G13)-1&gt;$K$26,"nm   ",(F13/G13)-1))</f>
        <v>0.17351857007616478</v>
      </c>
      <c r="L13" s="14">
        <f>IF(OR(B13&lt;=0,$B$13&lt;=0),"na   ",IF((B13/$B$13)&gt;$K$26,"nm   ",(B13/$B$13)))</f>
        <v>1</v>
      </c>
      <c r="M13" s="14">
        <f>IF(OR(D13&lt;=0,$D$13&lt;=0),"na   ",IF((D13/$D$13)&gt;$K$26,"nm   ",(D13/$D$13)))</f>
        <v>1</v>
      </c>
      <c r="N13" s="14">
        <f>IF(OR(F13&lt;=0,$F$13&lt;=0),"na   ",IF((F13/$F$13)&gt;$K$26,"nm   ",(F13/$F$13)))</f>
        <v>1</v>
      </c>
      <c r="O13" s="14">
        <f>IF(OR(C13&lt;=0,$C$13&lt;=0),"na   ",IF((C13/$C$13)&gt;$K$26,"nm   ",(C13/$C$13)))</f>
        <v>1</v>
      </c>
      <c r="P13" s="125">
        <f>IF(OR(E13&lt;=0,$E$13&lt;=0),"na   ",IF((E13/$E$13)&gt;$K$26,"nm   ",(E13/$E$13)))</f>
        <v>1</v>
      </c>
      <c r="Q13" s="14">
        <f>IF(OR(G13&lt;=0,$G$13&lt;=0),"na   ",IF((G13/$G$13)&gt;$K$26,"nm   ",(G13/$G$13)))</f>
        <v>1</v>
      </c>
      <c r="R13" s="3"/>
      <c r="S13" s="3"/>
    </row>
    <row r="14" spans="1:19" ht="18" x14ac:dyDescent="0.4">
      <c r="A14" s="13" t="s">
        <v>122</v>
      </c>
      <c r="B14" s="11"/>
      <c r="C14" s="11"/>
      <c r="D14" s="11"/>
      <c r="E14" s="11"/>
      <c r="F14" s="11"/>
      <c r="G14" s="11"/>
      <c r="H14" s="3"/>
      <c r="I14" s="14"/>
      <c r="J14" s="14"/>
      <c r="K14" s="3"/>
      <c r="L14" s="139" t="s">
        <v>314</v>
      </c>
      <c r="M14" s="139"/>
      <c r="N14" s="139"/>
      <c r="O14" s="133" t="s">
        <v>314</v>
      </c>
      <c r="P14" s="133"/>
      <c r="Q14" s="133"/>
      <c r="R14" s="3"/>
      <c r="S14" s="3"/>
    </row>
    <row r="15" spans="1:19" x14ac:dyDescent="0.25">
      <c r="A15" s="19" t="s">
        <v>306</v>
      </c>
      <c r="B15" s="10">
        <v>1391365</v>
      </c>
      <c r="C15" s="10">
        <v>105423</v>
      </c>
      <c r="D15" s="10">
        <v>6500</v>
      </c>
      <c r="E15" s="10">
        <v>7936</v>
      </c>
      <c r="F15" s="10">
        <f t="shared" ref="F15:G15" si="2">B15+D15</f>
        <v>1397865</v>
      </c>
      <c r="G15" s="10">
        <f t="shared" si="2"/>
        <v>113359</v>
      </c>
      <c r="H15" s="3"/>
      <c r="I15" s="9" t="str">
        <f>IF(OR(B15&lt;=0,C15&lt;=0),"na   ",IF((B15/C15)-1&gt;$K$26,"nm   ",(B15/C15)-1))</f>
        <v xml:space="preserve">nm   </v>
      </c>
      <c r="J15" s="9">
        <f>IF(OR(D15&lt;=0,E15&lt;=0),"na   ",IF((D15/E15)-1&gt;$K$26,"nm   ",(D15/E15)-1))</f>
        <v>-0.18094758064516125</v>
      </c>
      <c r="K15" s="9" t="str">
        <f>IF(OR(F15&lt;=0,G15&lt;=0),"na   ",IF((F15/G15)-1&gt;$K$26,"nm   ",(F15/G15)-1))</f>
        <v xml:space="preserve">nm   </v>
      </c>
      <c r="L15" s="14">
        <f>IF(OR(B15&lt;=0,$B$17&lt;=0),"na   ",IF((B15/$B$17)&gt;$K$26,"nm   ",(B15/$B$17)))</f>
        <v>0.15097137233434804</v>
      </c>
      <c r="M15" s="14">
        <f>IF(OR(D15&lt;=0,$D$17&lt;=0),"na   ",IF((D15/$D$17)&gt;$K$26,"nm   ",(D15/$D$17)))</f>
        <v>0.83806085611139758</v>
      </c>
      <c r="N15" s="14">
        <f>IF(OR(F15&lt;=0,$F$17&lt;=0),"na   ",IF((F15/$F$17)&gt;$K$26,"nm   ",(F15/$F$17)))</f>
        <v>0.15154912145601815</v>
      </c>
      <c r="O15" s="14">
        <f>IF(OR(C15&lt;=0,$C$17&lt;=0),"na   ",IF((C15/$C$17)&gt;$K$26,"nm   ",(C15/$C$17)))</f>
        <v>1.365366600602003E-2</v>
      </c>
      <c r="P15" s="14">
        <f>IF(OR(E15&lt;=0,$E$17&lt;=0),"na   ",IF((E15/$E$17)&gt;$K$26,"nm   ",(E15/$E$17)))</f>
        <v>1</v>
      </c>
      <c r="Q15" s="14">
        <f>IF(OR(G15&lt;=0,$G$17&lt;=0),"na   ",IF((G15/$G$17)&gt;$K$26,"nm   ",(G15/$G$17)))</f>
        <v>1.4666408078809092E-2</v>
      </c>
      <c r="R15" s="3"/>
      <c r="S15" s="3"/>
    </row>
    <row r="16" spans="1:19" ht="17.25" x14ac:dyDescent="0.35">
      <c r="A16" s="19" t="s">
        <v>123</v>
      </c>
      <c r="B16" s="11">
        <v>7824720</v>
      </c>
      <c r="C16" s="11">
        <v>7615800</v>
      </c>
      <c r="D16" s="11">
        <v>1256</v>
      </c>
      <c r="E16" s="11">
        <v>0</v>
      </c>
      <c r="F16" s="11">
        <f>B16+D16</f>
        <v>7825976</v>
      </c>
      <c r="G16" s="11">
        <f>C16+E16</f>
        <v>7615800</v>
      </c>
      <c r="H16" s="3"/>
      <c r="I16" s="9">
        <f>IF(OR(B16&lt;=0,C16&lt;=0),"na   ",IF((B16/C16)-1&gt;$K$26,"nm   ",(B16/C16)-1))</f>
        <v>2.743244307886239E-2</v>
      </c>
      <c r="J16" s="9" t="str">
        <f>IF(OR(D16&lt;=0,E16&lt;=0),"na   ",IF((D16/E16)-1&gt;$K$26,"nm   ",(D16/E16)-1))</f>
        <v xml:space="preserve">na   </v>
      </c>
      <c r="K16" s="9">
        <f>IF(OR(F16&lt;=0,G16&lt;=0),"na   ",IF((F16/G16)-1&gt;$K$26,"nm   ",(F16/G16)-1))</f>
        <v>2.759736337613905E-2</v>
      </c>
      <c r="L16" s="14">
        <f>IF(OR(B16&lt;=0,$B$17&lt;=0),"na   ",IF((B16/$B$17)&gt;$K$26,"nm   ",(B16/$B$17)))</f>
        <v>0.8490286276656519</v>
      </c>
      <c r="M16" s="14">
        <f>IF(OR(D16&lt;=0,$D$17&lt;=0),"na   ",IF((D16/$D$17)&gt;$K$26,"nm   ",(D16/$D$17)))</f>
        <v>0.16193914388860237</v>
      </c>
      <c r="N16" s="14">
        <f>IF(OR(F16&lt;=0,$F$17&lt;=0),"na   ",IF((F16/$F$17)&gt;$K$26,"nm   ",(F16/$F$17)))</f>
        <v>0.84845087854398182</v>
      </c>
      <c r="O16" s="14">
        <f>IF(OR(C16&lt;=0,$C$17&lt;=0),"na   ",IF((C16/$C$17)&gt;$K$26,"nm   ",(C16/$C$17)))</f>
        <v>0.98634633399397997</v>
      </c>
      <c r="P16" s="14" t="str">
        <f>IF(OR(E16&lt;=0,$E$17&lt;=0),"na   ",IF((E16/$E$17)&gt;$K$26,"nm   ",(E16/$E$17)))</f>
        <v xml:space="preserve">na   </v>
      </c>
      <c r="Q16" s="14">
        <f>IF(OR(G16&lt;=0,$G$17&lt;=0),"na   ",IF((G16/$G$17)&gt;$K$26,"nm   ",(G16/$G$17)))</f>
        <v>0.98533359192119085</v>
      </c>
      <c r="R16" s="3"/>
      <c r="S16" s="3"/>
    </row>
    <row r="17" spans="1:19" ht="17.25" x14ac:dyDescent="0.35">
      <c r="A17" s="12" t="s">
        <v>124</v>
      </c>
      <c r="B17" s="11">
        <f>SUM(B15:B16)</f>
        <v>9216085</v>
      </c>
      <c r="C17" s="11">
        <f t="shared" ref="C17:E17" si="3">SUM(C15:C16)</f>
        <v>7721223</v>
      </c>
      <c r="D17" s="11">
        <f t="shared" si="3"/>
        <v>7756</v>
      </c>
      <c r="E17" s="11">
        <f t="shared" si="3"/>
        <v>7936</v>
      </c>
      <c r="F17" s="11">
        <f>SUM(F15:F16)</f>
        <v>9223841</v>
      </c>
      <c r="G17" s="11">
        <f t="shared" ref="G17" si="4">SUM(G15:G16)</f>
        <v>7729159</v>
      </c>
      <c r="H17" s="3"/>
      <c r="I17" s="9">
        <f>IF(OR(B17&lt;=0,C17&lt;=0),"na   ",IF((B17/C17)-1&gt;$K$26,"nm   ",(B17/C17)-1))</f>
        <v>0.1936043033597139</v>
      </c>
      <c r="J17" s="9">
        <f>IF(OR(D17&lt;=0,E17&lt;=0),"na   ",IF((D17/E17)-1&gt;$K$26,"nm   ",(D17/E17)-1))</f>
        <v>-2.2681451612903247E-2</v>
      </c>
      <c r="K17" s="9">
        <f>IF(OR(F17&lt;=0,G17&lt;=0),"na   ",IF((F17/G17)-1&gt;$K$26,"nm   ",(F17/G17)-1))</f>
        <v>0.19338222955434081</v>
      </c>
      <c r="L17" s="14">
        <f>IF(OR(B17&lt;=0,$B$17&lt;=0),"na   ",IF((B17/$B$17)&gt;$K$26,"nm   ",(B17/$B$17)))</f>
        <v>1</v>
      </c>
      <c r="M17" s="14">
        <f>IF(OR(D17&lt;=0,$D$17&lt;=0),"na   ",IF((D17/$D$17)&gt;$K$26,"nm   ",(D17/$D$17)))</f>
        <v>1</v>
      </c>
      <c r="N17" s="14">
        <f>IF(OR(F17&lt;=0,$F$17&lt;=0),"na   ",IF((F17/$F$17)&gt;$K$26,"nm   ",(F17/$F$17)))</f>
        <v>1</v>
      </c>
      <c r="O17" s="14">
        <f>IF(OR(C17&lt;=0,$C$17&lt;=0),"na   ",IF((C17/$C$17)&gt;$K$26,"nm   ",(C17/$C$17)))</f>
        <v>1</v>
      </c>
      <c r="P17" s="14">
        <f>IF(OR(E17&lt;=0,$E$17&lt;=0),"na   ",IF((E17/$E$17)&gt;$K$26,"nm   ",(E17/$E$17)))</f>
        <v>1</v>
      </c>
      <c r="Q17" s="14">
        <f>IF(OR(G17&lt;=0,$G$17&lt;=0),"na   ",IF((G17/$G$17)&gt;$K$26,"nm   ",(G17/$G$17)))</f>
        <v>1</v>
      </c>
      <c r="R17" s="3"/>
      <c r="S17" s="3"/>
    </row>
    <row r="18" spans="1:19" ht="17.25" x14ac:dyDescent="0.35">
      <c r="A18" s="6" t="s">
        <v>125</v>
      </c>
      <c r="B18" s="11">
        <v>1500</v>
      </c>
      <c r="C18" s="11">
        <v>1789</v>
      </c>
      <c r="D18" s="11">
        <v>0</v>
      </c>
      <c r="E18" s="11">
        <v>0</v>
      </c>
      <c r="F18" s="11">
        <f t="shared" ref="F18:G18" si="5">B18+D18</f>
        <v>1500</v>
      </c>
      <c r="G18" s="11">
        <f t="shared" si="5"/>
        <v>1789</v>
      </c>
      <c r="H18" s="3"/>
      <c r="I18" s="9">
        <f>IF(OR(B18&lt;=0,C18&lt;=0),"na   ",IF((B18/C18)-1&gt;$K$26,"nm   ",(B18/C18)-1))</f>
        <v>-0.16154276131917267</v>
      </c>
      <c r="J18" s="9" t="str">
        <f>IF(OR(D18&lt;=0,E18&lt;=0),"na   ",IF((D18/E18)-1&gt;$K$26,"nm   ",(D18/E18)-1))</f>
        <v xml:space="preserve">na   </v>
      </c>
      <c r="K18" s="9">
        <f>IF(OR(F18&lt;=0,G18&lt;=0),"na   ",IF((F18/G18)-1&gt;$K$26,"nm   ",(F18/G18)-1))</f>
        <v>-0.16154276131917267</v>
      </c>
      <c r="L18" s="141"/>
      <c r="M18" s="141"/>
      <c r="N18" s="141"/>
      <c r="O18" s="3"/>
      <c r="P18" s="3"/>
      <c r="Q18" s="3"/>
      <c r="R18" s="3"/>
      <c r="S18" s="3"/>
    </row>
    <row r="19" spans="1:19" ht="20.25" customHeight="1" x14ac:dyDescent="0.35">
      <c r="A19" s="6" t="s">
        <v>126</v>
      </c>
      <c r="B19" s="10"/>
      <c r="C19" s="10"/>
      <c r="D19" s="10"/>
      <c r="E19" s="10"/>
      <c r="F19" s="10"/>
      <c r="G19" s="10"/>
      <c r="H19" s="3"/>
      <c r="I19" s="14"/>
      <c r="J19" s="14"/>
      <c r="L19" s="136" t="s">
        <v>315</v>
      </c>
      <c r="M19" s="136"/>
      <c r="N19" s="136"/>
      <c r="O19" s="133" t="s">
        <v>315</v>
      </c>
      <c r="P19" s="133"/>
      <c r="Q19" s="133"/>
      <c r="R19" s="3"/>
      <c r="S19" s="3"/>
    </row>
    <row r="20" spans="1:19" x14ac:dyDescent="0.25">
      <c r="A20" s="19" t="s">
        <v>127</v>
      </c>
      <c r="B20" s="10">
        <v>903033</v>
      </c>
      <c r="C20" s="10">
        <f>+C12-C16</f>
        <v>892226</v>
      </c>
      <c r="D20" s="10">
        <v>33541</v>
      </c>
      <c r="E20" s="10">
        <f>26150+3</f>
        <v>26153</v>
      </c>
      <c r="F20" s="10">
        <f t="shared" ref="F20:G21" si="6">B20+D20</f>
        <v>936574</v>
      </c>
      <c r="G20" s="10">
        <f t="shared" si="6"/>
        <v>918379</v>
      </c>
      <c r="H20" s="3"/>
      <c r="I20" s="9">
        <f>IF(OR(B20&lt;=0,C20&lt;=0),"na   ",IF((B20/C20)-1&gt;$K$26,"nm   ",(B20/C20)-1))</f>
        <v>1.2112402014736068E-2</v>
      </c>
      <c r="J20" s="9">
        <f>IF(OR(D20&lt;=0,E20&lt;=0),"na   ",IF((D20/E20)-1&gt;$K$26,"nm   ",(D20/E20)-1))</f>
        <v>0.28249149237181204</v>
      </c>
      <c r="K20" s="9">
        <f>IF(OR(F20&lt;=0,G20&lt;=0),"na   ",IF((F20/G20)-1&gt;$K$26,"nm   ",(F20/G20)-1))</f>
        <v>1.9812081940026927E-2</v>
      </c>
      <c r="L20" s="9">
        <f>IF(OR(B20&lt;=0,$B$22&lt;=0),"na   ",IF((B20/$B$22)&gt;$K$26,"nm   ",(B20/$B$22)))</f>
        <v>0.56013162301976205</v>
      </c>
      <c r="M20" s="9">
        <f>IF(OR(D20&lt;=0,$D$22&lt;=0),"na   ",IF((D20/$D$22)&gt;$K$26,"nm   ",(D20/$D$22)))</f>
        <v>0.6713167744130657</v>
      </c>
      <c r="N20" s="9">
        <f>IF(OR(F20&lt;=0,$F$22&lt;=0),"na   ",IF((F20/$F$22)&gt;$K$26,"nm   ",(F20/$F$22)))</f>
        <v>0.56347378053512842</v>
      </c>
      <c r="O20" s="14">
        <f>IF(OR(C20&lt;=0,$C$22&lt;=0),"na   ",IF((C20/$C$22)&gt;$K$26,"nm   ",(C20/$C$22)))</f>
        <v>0.58491242630626306</v>
      </c>
      <c r="P20" s="14">
        <f>IF(OR(E20&lt;=0,$E$22&lt;=0),"na   ",IF((E20/$E$22)&gt;$K$26,"nm   ",(E20/$E$22)))</f>
        <v>1.228301709562277</v>
      </c>
      <c r="Q20" s="14">
        <f>IF(OR(G20&lt;=0,$G$22&lt;=0),"na   ",IF((G20/$G$22)&gt;$K$26,"nm   ",(G20/$G$22)))</f>
        <v>0.5937694164258841</v>
      </c>
      <c r="R20" s="3"/>
      <c r="S20" s="3"/>
    </row>
    <row r="21" spans="1:19" ht="17.25" x14ac:dyDescent="0.35">
      <c r="A21" s="19" t="s">
        <v>128</v>
      </c>
      <c r="B21" s="11">
        <v>709147</v>
      </c>
      <c r="C21" s="11">
        <f>1237338-316421+80924+18-368684</f>
        <v>633175</v>
      </c>
      <c r="D21" s="11">
        <v>16422</v>
      </c>
      <c r="E21" s="11">
        <v>-4861</v>
      </c>
      <c r="F21" s="11">
        <f t="shared" si="6"/>
        <v>725569</v>
      </c>
      <c r="G21" s="11">
        <f>C21+E21</f>
        <v>628314</v>
      </c>
      <c r="H21" s="3"/>
      <c r="I21" s="9">
        <f>IF(OR(B21&lt;=0,C21&lt;=0),"na   ",IF((B21/C21)-1&gt;$K$26,"nm   ",(B21/C21)-1))</f>
        <v>0.11998578592016429</v>
      </c>
      <c r="J21" s="9" t="str">
        <f>IF(OR(D21&lt;=0,E21&lt;=0),"na   ",IF((D21/E21)-1&gt;$K$26,"nm   ",(D21/E21)-1))</f>
        <v xml:space="preserve">na   </v>
      </c>
      <c r="K21" s="9">
        <f>IF(OR(F21&lt;=0,G21&lt;=0),"na   ",IF((F21/G21)-1&gt;$K$26,"nm   ",(F21/G21)-1))</f>
        <v>0.15478725605350196</v>
      </c>
      <c r="L21" s="9">
        <f>IF(OR(B21&lt;=0,$B$22&lt;=0),"na   ",IF((B21/$B$22)&gt;$K$26,"nm   ",(B21/$B$22)))</f>
        <v>0.43986837698023795</v>
      </c>
      <c r="M21" s="9">
        <f>IF(OR(D21&lt;=0,$D$22&lt;=0),"na   ",IF((D21/$D$22)&gt;$K$26,"nm   ",(D21/$D$22)))</f>
        <v>0.32868322558693436</v>
      </c>
      <c r="N21" s="9">
        <f>IF(OR(F21&lt;=0,$F$22&lt;=0),"na   ",IF((F21/$F$22)&gt;$K$26,"nm   ",(F21/$F$22)))</f>
        <v>0.43652621946487158</v>
      </c>
      <c r="O21" s="14">
        <f>IF(OR(C21&lt;=0,$C$22&lt;=0),"na   ",IF((C21/$C$22)&gt;$K$26,"nm   ",(C21/$C$22)))</f>
        <v>0.41508757369373694</v>
      </c>
      <c r="P21" s="14" t="str">
        <f>IF(OR(E21&lt;=0,$E$22&lt;=0),"na   ",IF((E21/$E$22)&gt;$K$26,"nm   ",(E21/$E$22)))</f>
        <v xml:space="preserve">na   </v>
      </c>
      <c r="Q21" s="14">
        <f>IF(OR(G21&lt;=0,$G$22&lt;=0),"na   ",IF((G21/$G$22)&gt;$K$26,"nm   ",(G21/$G$22)))</f>
        <v>0.40623058357411584</v>
      </c>
      <c r="R21" s="3"/>
      <c r="S21" s="3"/>
    </row>
    <row r="22" spans="1:19" ht="17.25" x14ac:dyDescent="0.35">
      <c r="A22" s="12" t="s">
        <v>129</v>
      </c>
      <c r="B22" s="15">
        <f>SUM(B20:B21)</f>
        <v>1612180</v>
      </c>
      <c r="C22" s="15">
        <f>SUM(C20:C21)</f>
        <v>1525401</v>
      </c>
      <c r="D22" s="15">
        <f>SUM(D20:D21)</f>
        <v>49963</v>
      </c>
      <c r="E22" s="15">
        <f>SUM(E20:E21)</f>
        <v>21292</v>
      </c>
      <c r="F22" s="15">
        <f t="shared" ref="F22" si="7">+F13-F17-F18</f>
        <v>1662143</v>
      </c>
      <c r="G22" s="15">
        <f>SUM(G20:G21)</f>
        <v>1546693</v>
      </c>
      <c r="H22" s="3"/>
      <c r="I22" s="9">
        <f>IF(OR(B22&lt;=0,C22&lt;=0),"na   ",IF((B22/C22)-1&gt;$K$26,"nm   ",(B22/C22)-1))</f>
        <v>5.6889303206173247E-2</v>
      </c>
      <c r="J22" s="9">
        <f>IF(OR(D22&lt;=0,E22&lt;=0),"na   ",IF((D22/E22)-1&gt;$K$26,"nm   ",(D22/E22)-1))</f>
        <v>1.3465620890475294</v>
      </c>
      <c r="K22" s="9">
        <f>IF(OR(F22&lt;=0,G22&lt;=0),"na   ",IF((F22/G22)-1&gt;$K$26,"nm   ",(F22/G22)-1))</f>
        <v>7.4643125688161671E-2</v>
      </c>
      <c r="L22" s="9">
        <f>IF(OR(B22&lt;=0,$B$22&lt;=0),"na   ",IF((B22/$B$22)&gt;$K$26,"nm   ",(B22/$B$22)))</f>
        <v>1</v>
      </c>
      <c r="M22" s="14">
        <f>IF(OR(D22&lt;=0,$D$22&lt;=0),"na   ",IF((D22/$D$22)&gt;$K$26,"nm   ",(D22/$D$22)))</f>
        <v>1</v>
      </c>
      <c r="N22" s="14">
        <f>IF(OR(F22&lt;=0,$F$22&lt;=0),"na   ",IF((F22/$F$22)&gt;$K$26,"nm   ",(F22/$F$22)))</f>
        <v>1</v>
      </c>
      <c r="O22" s="14">
        <f>IF(OR(C22&lt;=0,$C$22&lt;=0),"na   ",IF((C22/$C$22)&gt;$K$26,"nm   ",(C22/$C$22)))</f>
        <v>1</v>
      </c>
      <c r="P22" s="14">
        <f>IF(OR(E22&lt;=0,$E$22&lt;=0),"na   ",IF((E22/$E$22)&gt;$K$26,"nm   ",(E22/$E$22)))</f>
        <v>1</v>
      </c>
      <c r="Q22" s="14">
        <f>IF(OR(G22&lt;=0,$G$22&lt;=0),"na   ",IF((G22/$G$22)&gt;$K$26,"nm   ",(G22/$G$22)))</f>
        <v>1</v>
      </c>
      <c r="R22" s="3"/>
      <c r="S22" s="3"/>
    </row>
    <row r="23" spans="1:19" x14ac:dyDescent="0.25">
      <c r="A23" s="3"/>
      <c r="B23" s="10"/>
      <c r="C23" s="10"/>
      <c r="D23" s="10"/>
      <c r="E23" s="10"/>
      <c r="F23" s="10"/>
      <c r="G23" s="1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6.5" thickBot="1" x14ac:dyDescent="0.3">
      <c r="A24" s="3"/>
      <c r="B24" s="10"/>
      <c r="C24" s="10"/>
      <c r="D24" s="10"/>
      <c r="E24" s="10"/>
      <c r="F24" s="10"/>
      <c r="G24" s="1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customHeight="1" x14ac:dyDescent="0.25">
      <c r="A25" s="16" t="s">
        <v>200</v>
      </c>
      <c r="B25" s="17" t="str">
        <f>IF(B13-B17-B18-B22=0,"Yes",B13-B17-B18-B22)</f>
        <v>Yes</v>
      </c>
      <c r="C25" s="17" t="str">
        <f t="shared" ref="C25:G25" si="8">IF(C13-C17-C18-C22=0,"Yes",C13-C17-C18-C22)</f>
        <v>Yes</v>
      </c>
      <c r="D25" s="17" t="str">
        <f t="shared" si="8"/>
        <v>Yes</v>
      </c>
      <c r="E25" s="17" t="str">
        <f t="shared" si="8"/>
        <v>Yes</v>
      </c>
      <c r="F25" s="17" t="str">
        <f t="shared" si="8"/>
        <v>Yes</v>
      </c>
      <c r="G25" s="17" t="str">
        <f t="shared" si="8"/>
        <v>Yes</v>
      </c>
      <c r="H25" s="3"/>
      <c r="I25" s="153" t="str">
        <f>CONCATENATE("Note:  % chg &gt; ",K26*100," is presented as not meaningful (nm).")</f>
        <v>Note:  % chg &gt; 300 is presented as not meaningful (nm).</v>
      </c>
      <c r="J25" s="154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16" t="s">
        <v>201</v>
      </c>
      <c r="B26" s="17" t="str">
        <f>IF(B13-B17-B18-B22=0,"Yes",B13-B17-B18-B22)</f>
        <v>Yes</v>
      </c>
      <c r="C26" s="17" t="str">
        <f t="shared" ref="C26:G26" si="9">IF(C13-C17-C18-C22=0,"Yes",C13-C17-C18-C22)</f>
        <v>Yes</v>
      </c>
      <c r="D26" s="17" t="str">
        <f t="shared" si="9"/>
        <v>Yes</v>
      </c>
      <c r="E26" s="17" t="str">
        <f t="shared" si="9"/>
        <v>Yes</v>
      </c>
      <c r="F26" s="17" t="str">
        <f t="shared" si="9"/>
        <v>Yes</v>
      </c>
      <c r="G26" s="17" t="str">
        <f t="shared" si="9"/>
        <v>Yes</v>
      </c>
      <c r="H26" s="3"/>
      <c r="I26" s="155"/>
      <c r="J26" s="156"/>
      <c r="K26" s="110">
        <v>3</v>
      </c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16" t="s">
        <v>156</v>
      </c>
      <c r="B27" s="17"/>
      <c r="C27" s="17"/>
      <c r="D27" s="17"/>
      <c r="E27" s="17"/>
      <c r="F27" s="17" t="str">
        <f>IF(B22+D22-F22=0,"Yes",B22+D22-F22)</f>
        <v>Yes</v>
      </c>
      <c r="G27" s="17" t="str">
        <f>IF(C22+E22-G22=0,"Yes",C22+E22-G22)</f>
        <v>Yes</v>
      </c>
      <c r="H27" s="3"/>
      <c r="I27" s="155"/>
      <c r="J27" s="156"/>
      <c r="K27" s="3"/>
      <c r="L27" s="3"/>
      <c r="M27" s="3"/>
      <c r="N27" s="3"/>
      <c r="O27" s="3"/>
      <c r="P27" s="3"/>
      <c r="Q27" s="3"/>
      <c r="R27" s="3"/>
      <c r="S27" s="3"/>
    </row>
    <row r="28" spans="1:19" ht="16.5" thickBot="1" x14ac:dyDescent="0.3">
      <c r="A28" s="3"/>
      <c r="B28" s="17"/>
      <c r="C28" s="10"/>
      <c r="D28" s="10"/>
      <c r="E28" s="10"/>
      <c r="F28" s="10"/>
      <c r="G28" s="10"/>
      <c r="H28" s="3"/>
      <c r="I28" s="157"/>
      <c r="J28" s="158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26" t="s">
        <v>256</v>
      </c>
      <c r="B29" s="17"/>
      <c r="C29" s="10"/>
      <c r="D29" s="10"/>
      <c r="E29" s="10"/>
      <c r="F29" s="10"/>
      <c r="G29" s="10"/>
      <c r="H29" s="3"/>
      <c r="I29" s="123"/>
      <c r="J29" s="12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3"/>
      <c r="B30" s="17"/>
      <c r="C30" s="10"/>
      <c r="D30" s="10"/>
      <c r="E30" s="10"/>
      <c r="F30" s="10"/>
      <c r="G30" s="10"/>
      <c r="H30" s="3"/>
      <c r="I30" s="123"/>
      <c r="J30" s="12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128" t="s">
        <v>130</v>
      </c>
      <c r="B31" s="128"/>
      <c r="C31" s="128"/>
      <c r="D31" s="128"/>
      <c r="E31" s="128"/>
      <c r="F31" s="128"/>
      <c r="G31" s="128"/>
      <c r="H31" s="3"/>
      <c r="I31" s="18"/>
      <c r="J31" s="18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151" t="s">
        <v>131</v>
      </c>
      <c r="B32" s="151"/>
      <c r="C32" s="151"/>
      <c r="D32" s="151"/>
      <c r="E32" s="151"/>
      <c r="F32" s="151"/>
      <c r="G32" s="15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20.25" x14ac:dyDescent="0.55000000000000004">
      <c r="A33" s="3"/>
      <c r="B33" s="131" t="s">
        <v>115</v>
      </c>
      <c r="C33" s="131"/>
      <c r="D33" s="131" t="s">
        <v>116</v>
      </c>
      <c r="E33" s="131"/>
      <c r="F33" s="131" t="s">
        <v>48</v>
      </c>
      <c r="G33" s="131"/>
      <c r="H33" s="3"/>
      <c r="I33" s="152" t="s">
        <v>208</v>
      </c>
      <c r="J33" s="152"/>
      <c r="K33" s="152"/>
      <c r="L33" s="137" t="str">
        <f>CONCATENATE("For Fiscal Year ",YEAR(B34))</f>
        <v>For Fiscal Year 2020</v>
      </c>
      <c r="M33" s="137"/>
      <c r="N33" s="137"/>
      <c r="O33" s="138" t="str">
        <f>CONCATENATE("For Prior Fiscal Year ",YEAR(E34))</f>
        <v>For Prior Fiscal Year 2019</v>
      </c>
      <c r="P33" s="138"/>
      <c r="Q33" s="138"/>
      <c r="R33" s="3"/>
      <c r="S33" s="3"/>
    </row>
    <row r="34" spans="1:19" ht="17.25" x14ac:dyDescent="0.35">
      <c r="A34" s="3"/>
      <c r="B34" s="4">
        <f>B8</f>
        <v>44012</v>
      </c>
      <c r="C34" s="4">
        <f t="shared" ref="C34:G34" si="10">C8</f>
        <v>43646</v>
      </c>
      <c r="D34" s="4">
        <f t="shared" si="10"/>
        <v>44012</v>
      </c>
      <c r="E34" s="4">
        <f t="shared" si="10"/>
        <v>43646</v>
      </c>
      <c r="F34" s="4">
        <f t="shared" si="10"/>
        <v>44012</v>
      </c>
      <c r="G34" s="4">
        <f t="shared" si="10"/>
        <v>43646</v>
      </c>
      <c r="H34" s="3"/>
      <c r="I34" s="5" t="s">
        <v>202</v>
      </c>
      <c r="J34" s="5" t="s">
        <v>203</v>
      </c>
      <c r="K34" s="5" t="s">
        <v>249</v>
      </c>
      <c r="L34" s="120" t="s">
        <v>204</v>
      </c>
      <c r="M34" s="120" t="s">
        <v>311</v>
      </c>
      <c r="N34" s="120" t="s">
        <v>312</v>
      </c>
      <c r="O34" s="120" t="s">
        <v>204</v>
      </c>
      <c r="P34" s="120" t="s">
        <v>311</v>
      </c>
      <c r="Q34" s="120" t="s">
        <v>312</v>
      </c>
      <c r="R34" s="3"/>
      <c r="S34" s="3"/>
    </row>
    <row r="35" spans="1:19" ht="17.25" x14ac:dyDescent="0.35">
      <c r="A35" s="6" t="s">
        <v>132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134" t="s">
        <v>316</v>
      </c>
      <c r="M35" s="134"/>
      <c r="N35" s="134"/>
      <c r="O35" s="135" t="s">
        <v>316</v>
      </c>
      <c r="P35" s="135"/>
      <c r="Q35" s="135"/>
      <c r="R35" s="3"/>
      <c r="S35" s="3"/>
    </row>
    <row r="36" spans="1:19" x14ac:dyDescent="0.25">
      <c r="A36" s="19" t="s">
        <v>133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122"/>
      <c r="M36" s="122"/>
      <c r="N36" s="122"/>
      <c r="O36" s="122"/>
      <c r="P36" s="122"/>
      <c r="Q36" s="122"/>
      <c r="R36" s="3"/>
      <c r="S36" s="3"/>
    </row>
    <row r="37" spans="1:19" x14ac:dyDescent="0.25">
      <c r="A37" s="12" t="s">
        <v>134</v>
      </c>
      <c r="B37" s="8">
        <v>62187</v>
      </c>
      <c r="C37" s="8">
        <v>0</v>
      </c>
      <c r="D37" s="8">
        <v>68669</v>
      </c>
      <c r="E37" s="8">
        <v>60115</v>
      </c>
      <c r="F37" s="8">
        <f>B37+D37</f>
        <v>130856</v>
      </c>
      <c r="G37" s="8">
        <f>C37+E37</f>
        <v>60115</v>
      </c>
      <c r="H37" s="3" t="str">
        <f>IF(ABS(B37)+ABS(C37)+ABS(D37)+ABS(E37)+ABS(F37)+ABS(G37)=0,"  Hide"," ")</f>
        <v xml:space="preserve"> </v>
      </c>
      <c r="I37" s="9" t="str">
        <f>IF(OR(B37&lt;=0,C37&lt;=0),"na   ",IF((B37/C37)-1&gt;$K$26,"nm   ",(B37/C37)-1))</f>
        <v xml:space="preserve">na   </v>
      </c>
      <c r="J37" s="9">
        <f>IF(OR(D37&lt;=0,E37&lt;=0),"na   ",IF((D37/E37)-1&gt;$K$26,"nm   ",(D37/E37)-1))</f>
        <v>0.14229393662147549</v>
      </c>
      <c r="K37" s="9">
        <f>IF(OR(F37&lt;=0,G37&lt;=0),"na   ",IF((F37/G37)-1&gt;$K$26,"nm   ",(F37/G37)-1))</f>
        <v>1.1767612076852698</v>
      </c>
      <c r="L37" s="121">
        <f>IF(OR(B37&lt;=0,$B$45&lt;=0),"na   ",IF((B37/$B$45)&gt;$K$26,"nm   ",(B37/$B$45)))</f>
        <v>1.3494186413634668E-2</v>
      </c>
      <c r="M37" s="121">
        <f>IF(OR(D37&lt;=0,$D$45&lt;=0),"na   ",IF((D37/$D$45)&gt;$K$26,"nm   ",(D37/$D$45)))</f>
        <v>0.59220897942287454</v>
      </c>
      <c r="N37" s="121">
        <f>IF(OR(F37&lt;=0,$F$45&lt;=0),"na   ",IF((F37/$F$45)&gt;$K$26,"nm   ",(F37/$F$45)))</f>
        <v>2.7698008396017004E-2</v>
      </c>
      <c r="O37" s="121" t="str">
        <f>IF(OR(C37&lt;=0,$C$45&lt;=0),"na   ",IF((C37/$C$45)&gt;$K$26,"nm   ",(C37/$C$45)))</f>
        <v xml:space="preserve">na   </v>
      </c>
      <c r="P37" s="121">
        <f>IF(OR(E37&lt;=0,$E$45&lt;=0),"na   ",IF((E37/$E$45)&gt;$K$26,"nm   ",(E37/$E$45)))</f>
        <v>0.59895184672252832</v>
      </c>
      <c r="Q37" s="121">
        <f>IF(OR(G37&lt;=0,$G$45&lt;=0),"na   ",IF((G37/$G$45)&gt;$K$26,"nm   ",(G37/$G$45)))</f>
        <v>1.4285778788226608E-2</v>
      </c>
      <c r="R37" s="3"/>
      <c r="S37" s="3"/>
    </row>
    <row r="38" spans="1:19" x14ac:dyDescent="0.25">
      <c r="A38" s="12" t="s">
        <v>135</v>
      </c>
      <c r="B38" s="10">
        <v>73227</v>
      </c>
      <c r="C38" s="10">
        <v>40051</v>
      </c>
      <c r="D38" s="10">
        <v>46351</v>
      </c>
      <c r="E38" s="10">
        <v>40252</v>
      </c>
      <c r="F38" s="10">
        <f t="shared" ref="F38:G39" si="11">B38+D38</f>
        <v>119578</v>
      </c>
      <c r="G38" s="10">
        <f t="shared" si="11"/>
        <v>80303</v>
      </c>
      <c r="H38" s="3" t="str">
        <f t="shared" ref="H38:H44" si="12">IF(ABS(B38)+ABS(C38)+ABS(D38)+ABS(E38)+ABS(F38)+ABS(G38)=0,"  Hide"," ")</f>
        <v xml:space="preserve"> </v>
      </c>
      <c r="I38" s="9">
        <f>IF(OR(B38&lt;=0,C38&lt;=0),"na   ",IF((B38/C38)-1&gt;$K$26,"nm   ",(B38/C38)-1))</f>
        <v>0.82834386157648998</v>
      </c>
      <c r="J38" s="9">
        <f>IF(OR(D38&lt;=0,E38&lt;=0),"na   ",IF((D38/E38)-1&gt;$K$26,"nm   ",(D38/E38)-1))</f>
        <v>0.15152042134552324</v>
      </c>
      <c r="K38" s="9">
        <f>IF(OR(F38&lt;=0,G38&lt;=0),"na   ",IF((F38/G38)-1&gt;$K$26,"nm   ",(F38/G38)-1))</f>
        <v>0.48908509022078883</v>
      </c>
      <c r="L38" s="121">
        <f>IF(OR(B38&lt;=0,$B$45&lt;=0),"na   ",IF((B38/$B$45)&gt;$K$26,"nm   ",(B38/$B$45)))</f>
        <v>1.588979671814408E-2</v>
      </c>
      <c r="M38" s="121">
        <f>IF(OR(D38&lt;=0,$D$45&lt;=0),"na   ",IF((D38/$D$45)&gt;$K$26,"nm   ",(D38/$D$45)))</f>
        <v>0.39973610224744294</v>
      </c>
      <c r="N38" s="121">
        <f>IF(OR(F38&lt;=0,$F$45&lt;=0),"na   ",IF((F38/$F$45)&gt;$K$26,"nm   ",(F38/$F$45)))</f>
        <v>2.5310818365064814E-2</v>
      </c>
      <c r="O38" s="121">
        <f>IF(OR(C38&lt;=0,$C$45&lt;=0),"na   ",IF((C38/$C$45)&gt;$K$26,"nm   ",(C38/$C$45)))</f>
        <v>9.7503106388448519E-3</v>
      </c>
      <c r="P38" s="121">
        <f>IF(OR(E38&lt;=0,$E$45&lt;=0),"na   ",IF((E38/$E$45)&gt;$K$26,"nm   ",(E38/$E$45)))</f>
        <v>0.40104815327747168</v>
      </c>
      <c r="Q38" s="121">
        <f>IF(OR(G38&lt;=0,$G$45&lt;=0),"na   ",IF((G38/$G$45)&gt;$K$26,"nm   ",(G38/$G$45)))</f>
        <v>1.9083271962587727E-2</v>
      </c>
      <c r="R38" s="3"/>
      <c r="S38" s="3"/>
    </row>
    <row r="39" spans="1:19" x14ac:dyDescent="0.25">
      <c r="A39" s="12" t="s">
        <v>136</v>
      </c>
      <c r="B39" s="10">
        <v>9407</v>
      </c>
      <c r="C39" s="10">
        <v>0</v>
      </c>
      <c r="D39" s="10">
        <v>934</v>
      </c>
      <c r="E39" s="10">
        <v>0</v>
      </c>
      <c r="F39" s="10">
        <f t="shared" si="11"/>
        <v>10341</v>
      </c>
      <c r="G39" s="10">
        <f t="shared" si="11"/>
        <v>0</v>
      </c>
      <c r="H39" s="3" t="str">
        <f t="shared" si="12"/>
        <v xml:space="preserve"> </v>
      </c>
      <c r="I39" s="9" t="str">
        <f>IF(OR(B39&lt;=0,C39&lt;=0),"na   ",IF((B39/C39)-1&gt;$K$26,"nm   ",(B39/C39)-1))</f>
        <v xml:space="preserve">na   </v>
      </c>
      <c r="J39" s="9" t="str">
        <f>IF(OR(D39&lt;=0,E39&lt;=0),"na   ",IF((D39/E39)-1&gt;$K$26,"nm   ",(D39/E39)-1))</f>
        <v xml:space="preserve">na   </v>
      </c>
      <c r="K39" s="9" t="str">
        <f>IF(OR(F39&lt;=0,G39&lt;=0),"na   ",IF((F39/G39)-1&gt;$K$26,"nm   ",(F39/G39)-1))</f>
        <v xml:space="preserve">na   </v>
      </c>
      <c r="L39" s="121">
        <f>IF(OR(B39&lt;=0,$B$45&lt;=0),"na   ",IF((B39/$B$45)&gt;$K$26,"nm   ",(B39/$B$45)))</f>
        <v>2.0412596136340604E-3</v>
      </c>
      <c r="M39" s="121">
        <f>IF(OR(D39&lt;=0,$D$45&lt;=0),"na   ",IF((D39/$D$45)&gt;$K$26,"nm   ",(D39/$D$45)))</f>
        <v>8.0549183296824596E-3</v>
      </c>
      <c r="N39" s="121">
        <f>IF(OR(F39&lt;=0,$F$45&lt;=0),"na   ",IF((F39/$F$45)&gt;$K$26,"nm   ",(F39/$F$45)))</f>
        <v>2.1888572539525268E-3</v>
      </c>
      <c r="O39" s="121" t="str">
        <f>IF(OR(C39&lt;=0,$C$45&lt;=0),"na   ",IF((C39/$C$45)&gt;$K$26,"nm   ",(C39/$C$45)))</f>
        <v xml:space="preserve">na   </v>
      </c>
      <c r="P39" s="121" t="str">
        <f>IF(OR(E39&lt;=0,$E$45&lt;=0),"na   ",IF((E39/$E$45)&gt;$K$26,"nm   ",(E39/$E$45)))</f>
        <v xml:space="preserve">na   </v>
      </c>
      <c r="Q39" s="121" t="str">
        <f>IF(OR(G39&lt;=0,$G$45&lt;=0),"na   ",IF((G39/$G$45)&gt;$K$26,"nm   ",(G39/$G$45)))</f>
        <v xml:space="preserve">na   </v>
      </c>
      <c r="R39" s="3"/>
      <c r="S39" s="3"/>
    </row>
    <row r="40" spans="1:19" x14ac:dyDescent="0.25">
      <c r="A40" s="19" t="s">
        <v>137</v>
      </c>
      <c r="B40" s="3"/>
      <c r="C40" s="3"/>
      <c r="D40" s="3"/>
      <c r="E40" s="3"/>
      <c r="F40" s="3"/>
      <c r="G40" s="3"/>
      <c r="H40" s="3"/>
      <c r="I40" s="9"/>
      <c r="J40" s="9"/>
      <c r="K40" s="3"/>
      <c r="L40" s="121"/>
      <c r="M40" s="121"/>
      <c r="N40" s="121"/>
      <c r="O40" s="121"/>
      <c r="P40" s="121"/>
      <c r="Q40" s="121"/>
      <c r="R40" s="3"/>
      <c r="S40" s="3"/>
    </row>
    <row r="41" spans="1:19" x14ac:dyDescent="0.25">
      <c r="A41" s="12" t="s">
        <v>138</v>
      </c>
      <c r="B41" s="10">
        <f>1228279+2707216+71470</f>
        <v>4006965</v>
      </c>
      <c r="C41" s="10">
        <v>3846421</v>
      </c>
      <c r="D41" s="10">
        <v>0</v>
      </c>
      <c r="E41" s="10">
        <v>0</v>
      </c>
      <c r="F41" s="10">
        <f t="shared" ref="F41:G44" si="13">B41+D41</f>
        <v>4006965</v>
      </c>
      <c r="G41" s="10">
        <f t="shared" si="13"/>
        <v>3846421</v>
      </c>
      <c r="H41" s="67" t="str">
        <f t="shared" si="12"/>
        <v xml:space="preserve"> </v>
      </c>
      <c r="I41" s="9">
        <f>IF(OR(B41&lt;=0,C41&lt;=0),"na   ",IF((B41/C41)-1&gt;$K$26,"nm   ",(B41/C41)-1))</f>
        <v>4.1738540840953187E-2</v>
      </c>
      <c r="J41" s="9" t="str">
        <f>IF(OR(D41&lt;=0,E41&lt;=0),"na   ",IF((D41/E41)-1&gt;$K$26,"nm   ",(D41/E41)-1))</f>
        <v xml:space="preserve">na   </v>
      </c>
      <c r="K41" s="9">
        <f>IF(OR(F41&lt;=0,G41&lt;=0),"na   ",IF((F41/G41)-1&gt;$K$26,"nm   ",(F41/G41)-1))</f>
        <v>4.1738540840953187E-2</v>
      </c>
      <c r="L41" s="121">
        <f>IF(OR(B41&lt;=0,$B$45&lt;=0),"na   ",IF((B41/$B$45)&gt;$K$26,"nm   ",(B41/$B$45)))</f>
        <v>0.86948610904062973</v>
      </c>
      <c r="M41" s="121" t="str">
        <f>IF(OR(D41&lt;=0,$D$45&lt;=0),"na   ",IF((D41/$D$45)&gt;$K$26,"nm   ",(D41/$D$45)))</f>
        <v xml:space="preserve">na   </v>
      </c>
      <c r="N41" s="121">
        <f>IF(OR(F41&lt;=0,$F$45&lt;=0),"na   ",IF((F41/$F$45)&gt;$K$26,"nm   ",(F41/$F$45)))</f>
        <v>0.84814567320219381</v>
      </c>
      <c r="O41" s="121">
        <f>IF(OR(C41&lt;=0,$C$45&lt;=0),"na   ",IF((C41/$C$45)&gt;$K$26,"nm   ",(C41/$C$45)))</f>
        <v>0.9364010785692306</v>
      </c>
      <c r="P41" s="121" t="str">
        <f>IF(OR(E41&lt;=0,$E$45&lt;=0),"na   ",IF((E41/$E$45)&gt;$K$26,"nm   ",(E41/$E$45)))</f>
        <v xml:space="preserve">na   </v>
      </c>
      <c r="Q41" s="121">
        <f>IF(OR(G41&lt;=0,$G$45&lt;=0),"na   ",IF((G41/$G$45)&gt;$K$26,"nm   ",(G41/$G$45)))</f>
        <v>0.91406669770255966</v>
      </c>
      <c r="R41" s="3"/>
      <c r="S41" s="3"/>
    </row>
    <row r="42" spans="1:19" x14ac:dyDescent="0.25">
      <c r="A42" s="12" t="s">
        <v>139</v>
      </c>
      <c r="B42" s="10">
        <v>334098</v>
      </c>
      <c r="C42" s="10">
        <v>106875</v>
      </c>
      <c r="D42" s="10">
        <v>0</v>
      </c>
      <c r="E42" s="10">
        <v>0</v>
      </c>
      <c r="F42" s="10">
        <f t="shared" si="13"/>
        <v>334098</v>
      </c>
      <c r="G42" s="10">
        <f t="shared" si="13"/>
        <v>106875</v>
      </c>
      <c r="H42" s="67" t="str">
        <f t="shared" si="12"/>
        <v xml:space="preserve"> </v>
      </c>
      <c r="I42" s="9">
        <f>IF(OR(B42&lt;=0,C42&lt;=0),"na   ",IF((B42/C42)-1&gt;$K$26,"nm   ",(B42/C42)-1))</f>
        <v>2.1260631578947367</v>
      </c>
      <c r="J42" s="9" t="str">
        <f>IF(OR(D42&lt;=0,E42&lt;=0),"na   ",IF((D42/E42)-1&gt;$K$26,"nm   ",(D42/E42)-1))</f>
        <v xml:space="preserve">na   </v>
      </c>
      <c r="K42" s="9">
        <f>IF(OR(F42&lt;=0,G42&lt;=0),"na   ",IF((F42/G42)-1&gt;$K$26,"nm   ",(F42/G42)-1))</f>
        <v>2.1260631578947367</v>
      </c>
      <c r="L42" s="121">
        <f>IF(OR(B42&lt;=0,$B$45&lt;=0),"na   ",IF((B42/$B$45)&gt;$K$26,"nm   ",(B42/$B$45)))</f>
        <v>7.2497156840216043E-2</v>
      </c>
      <c r="M42" s="121" t="str">
        <f>IF(OR(D42&lt;=0,$D$45&lt;=0),"na   ",IF((D42/$D$45)&gt;$K$26,"nm   ",(D42/$D$45)))</f>
        <v xml:space="preserve">na   </v>
      </c>
      <c r="N42" s="121">
        <f>IF(OR(F42&lt;=0,$F$45&lt;=0),"na   ",IF((F42/$F$45)&gt;$K$26,"nm   ",(F42/$F$45)))</f>
        <v>7.0717805901850034E-2</v>
      </c>
      <c r="O42" s="121">
        <f>IF(OR(C42&lt;=0,$C$45&lt;=0),"na   ",IF((C42/$C$45)&gt;$K$26,"nm   ",(C42/$C$45)))</f>
        <v>2.6018437730057766E-2</v>
      </c>
      <c r="P42" s="121" t="str">
        <f>IF(OR(E42&lt;=0,$E$45&lt;=0),"na   ",IF((E42/$E$45)&gt;$K$26,"nm   ",(E42/$E$45)))</f>
        <v xml:space="preserve">na   </v>
      </c>
      <c r="Q42" s="121">
        <f>IF(OR(G42&lt;=0,$G$45&lt;=0),"na   ",IF((G42/$G$45)&gt;$K$26,"nm   ",(G42/$G$45)))</f>
        <v>2.5397864226760686E-2</v>
      </c>
      <c r="R42" s="3"/>
      <c r="S42" s="3"/>
    </row>
    <row r="43" spans="1:19" x14ac:dyDescent="0.25">
      <c r="A43" s="126" t="s">
        <v>253</v>
      </c>
      <c r="B43" s="10">
        <v>3823</v>
      </c>
      <c r="C43" s="10">
        <v>1667</v>
      </c>
      <c r="D43" s="10">
        <v>0</v>
      </c>
      <c r="E43" s="10">
        <v>0</v>
      </c>
      <c r="F43" s="10">
        <f t="shared" si="13"/>
        <v>3823</v>
      </c>
      <c r="G43" s="10">
        <f t="shared" si="13"/>
        <v>1667</v>
      </c>
      <c r="H43" s="67" t="str">
        <f t="shared" si="12"/>
        <v xml:space="preserve"> </v>
      </c>
      <c r="I43" s="9">
        <f>IF(OR(B43&lt;=0,C43&lt;=0),"na   ",IF((B43/C43)-1&gt;$K$26,"nm   ",(B43/C43)-1))</f>
        <v>1.2933413317336533</v>
      </c>
      <c r="J43" s="9" t="str">
        <f>IF(OR(D43&lt;=0,E43&lt;=0),"na   ",IF((D43/E43)-1&gt;$K$26,"nm   ",(D43/E43)-1))</f>
        <v xml:space="preserve">na   </v>
      </c>
      <c r="K43" s="9">
        <f>IF(OR(F43&lt;=0,G43&lt;=0),"na   ",IF((F43/G43)-1&gt;$K$26,"nm   ",(F43/G43)-1))</f>
        <v>1.2933413317336533</v>
      </c>
      <c r="L43" s="121">
        <f>IF(OR(B43&lt;=0,$B$45&lt;=0),"na   ",IF((B43/$B$45)&gt;$K$26,"nm   ",(B43/$B$45)))</f>
        <v>8.2956686541118456E-4</v>
      </c>
      <c r="M43" s="121" t="str">
        <f>IF(OR(D43&lt;=0,$D$45&lt;=0),"na   ",IF((D43/$D$45)&gt;$K$26,"nm   ",(D43/$D$45)))</f>
        <v xml:space="preserve">na   </v>
      </c>
      <c r="N43" s="121">
        <f>IF(OR(F43&lt;=0,$F$45&lt;=0),"na   ",IF((F43/$F$45)&gt;$K$26,"nm   ",(F43/$F$45)))</f>
        <v>8.0920619687269212E-4</v>
      </c>
      <c r="O43" s="121">
        <f>IF(OR(C43&lt;=0,$C$45&lt;=0),"na   ",IF((C43/$C$45)&gt;$K$26,"nm   ",(C43/$C$45)))</f>
        <v>4.0582676674625771E-4</v>
      </c>
      <c r="P43" s="121" t="str">
        <f>IF(OR(E43&lt;=0,$E$45&lt;=0),"na   ",IF((E43/$E$45)&gt;$K$26,"nm   ",(E43/$E$45)))</f>
        <v xml:space="preserve">na   </v>
      </c>
      <c r="Q43" s="121">
        <f>IF(OR(G43&lt;=0,$G$45&lt;=0),"na   ",IF((G43/$G$45)&gt;$K$26,"nm   ",(G43/$G$45)))</f>
        <v>3.9614727172874916E-4</v>
      </c>
      <c r="R43" s="3"/>
      <c r="S43" s="3"/>
    </row>
    <row r="44" spans="1:19" ht="17.25" x14ac:dyDescent="0.35">
      <c r="A44" s="12" t="s">
        <v>140</v>
      </c>
      <c r="B44" s="11">
        <f>118722</f>
        <v>118722</v>
      </c>
      <c r="C44" s="11">
        <f>114317-1667</f>
        <v>112650</v>
      </c>
      <c r="D44" s="11">
        <v>0</v>
      </c>
      <c r="E44" s="11">
        <v>0</v>
      </c>
      <c r="F44" s="11">
        <f t="shared" si="13"/>
        <v>118722</v>
      </c>
      <c r="G44" s="11">
        <f t="shared" si="13"/>
        <v>112650</v>
      </c>
      <c r="H44" s="67" t="str">
        <f t="shared" si="12"/>
        <v xml:space="preserve"> </v>
      </c>
      <c r="I44" s="9">
        <f>IF(OR(B44&lt;=0,C44&lt;=0),"na   ",IF((B44/C44)-1&gt;$K$26,"nm   ",(B44/C44)-1))</f>
        <v>5.3901464713715042E-2</v>
      </c>
      <c r="J44" s="9" t="str">
        <f>IF(OR(D44&lt;=0,E44&lt;=0),"na   ",IF((D44/E44)-1&gt;$K$26,"nm   ",(D44/E44)-1))</f>
        <v xml:space="preserve">na   </v>
      </c>
      <c r="K44" s="9">
        <f>IF(OR(F44&lt;=0,G44&lt;=0),"na   ",IF((F44/G44)-1&gt;$K$26,"nm   ",(F44/G44)-1))</f>
        <v>5.3901464713715042E-2</v>
      </c>
      <c r="L44" s="121">
        <f>IF(OR(B44&lt;=0,$B$45&lt;=0),"na   ",IF((B44/$B$45)&gt;$K$26,"nm   ",(B44/$B$45)))</f>
        <v>2.5761924508330279E-2</v>
      </c>
      <c r="M44" s="121" t="str">
        <f>IF(OR(D44&lt;=0,$D$45&lt;=0),"na   ",IF((D44/$D$45)&gt;$K$26,"nm   ",(D44/$D$45)))</f>
        <v xml:space="preserve">na   </v>
      </c>
      <c r="N44" s="121">
        <f>IF(OR(F44&lt;=0,$F$45&lt;=0),"na   ",IF((F44/$F$45)&gt;$K$26,"nm   ",(F44/$F$45)))</f>
        <v>2.5129630684049113E-2</v>
      </c>
      <c r="O44" s="121">
        <f>IF(OR(C44&lt;=0,$C$45&lt;=0),"na   ",IF((C44/$C$45)&gt;$K$26,"nm   ",(C44/$C$45)))</f>
        <v>2.7424346295120534E-2</v>
      </c>
      <c r="P44" s="121" t="str">
        <f>IF(OR(E44&lt;=0,$E$45&lt;=0),"na   ",IF((E44/$E$45)&gt;$K$26,"nm   ",(E44/$E$45)))</f>
        <v xml:space="preserve">na   </v>
      </c>
      <c r="Q44" s="121">
        <f>IF(OR(G44&lt;=0,$G$45&lt;=0),"na   ",IF((G44/$G$45)&gt;$K$26,"nm   ",(G44/$G$45)))</f>
        <v>2.6770240048136527E-2</v>
      </c>
      <c r="R44" s="3"/>
      <c r="S44" s="3"/>
    </row>
    <row r="45" spans="1:19" ht="17.25" x14ac:dyDescent="0.35">
      <c r="A45" s="12" t="s">
        <v>141</v>
      </c>
      <c r="B45" s="11">
        <f>SUM(B37:B39)+SUM(B41:B44)</f>
        <v>4608429</v>
      </c>
      <c r="C45" s="11">
        <f t="shared" ref="C45:E45" si="14">SUM(C37:C39)+SUM(C41:C44)</f>
        <v>4107664</v>
      </c>
      <c r="D45" s="11">
        <f t="shared" si="14"/>
        <v>115954</v>
      </c>
      <c r="E45" s="11">
        <f t="shared" si="14"/>
        <v>100367</v>
      </c>
      <c r="F45" s="11">
        <f t="shared" ref="F45" si="15">SUM(F37:F39)+SUM(F41:F44)</f>
        <v>4724383</v>
      </c>
      <c r="G45" s="11">
        <f t="shared" ref="G45" si="16">SUM(G37:G39)+SUM(G41:G44)</f>
        <v>4208031</v>
      </c>
      <c r="H45" s="67"/>
      <c r="I45" s="9">
        <f>IF(OR(B45&lt;=0,C45&lt;=0),"na   ",IF((B45/C45)-1&gt;$K$26,"nm   ",(B45/C45)-1))</f>
        <v>0.12190992252530886</v>
      </c>
      <c r="J45" s="9">
        <f>IF(OR(D45&lt;=0,E45&lt;=0),"na   ",IF((D45/E45)-1&gt;$K$26,"nm   ",(D45/E45)-1))</f>
        <v>0.1553000488208276</v>
      </c>
      <c r="K45" s="9">
        <f>IF(OR(F45&lt;=0,G45&lt;=0),"na   ",IF((F45/G45)-1&gt;$K$26,"nm   ",(F45/G45)-1))</f>
        <v>0.12270632036693652</v>
      </c>
      <c r="L45" s="121">
        <f>IF(OR(B45&lt;=0,$B$45&lt;=0),"na   ",IF((B45/$B$45)&gt;$K$26,"nm   ",(B45/$B$45)))</f>
        <v>1</v>
      </c>
      <c r="M45" s="121">
        <f>IF(OR(D45&lt;=0,$D$45&lt;=0),"na   ",IF((D45/$D$45)&gt;$K$26,"nm   ",(D45/$D$45)))</f>
        <v>1</v>
      </c>
      <c r="N45" s="121">
        <f>IF(OR(F45&lt;=0,$F$45&lt;=0),"na   ",IF((F45/$F$45)&gt;$K$26,"nm   ",(F45/$F$45)))</f>
        <v>1</v>
      </c>
      <c r="O45" s="121">
        <f>IF(OR(C45&lt;=0,$C$45&lt;=0),"na   ",IF((C45/$C$45)&gt;$K$26,"nm   ",(C45/$C$45)))</f>
        <v>1</v>
      </c>
      <c r="P45" s="121">
        <f>IF(OR(E45&lt;=0,$E$45&lt;=0),"na   ",IF((E45/$E$45)&gt;$K$26,"nm   ",(E45/$E$45)))</f>
        <v>1</v>
      </c>
      <c r="Q45" s="121">
        <f>IF(OR(G45&lt;=0,$G$45&lt;=0),"na   ",IF((G45/$G$45)&gt;$K$26,"nm   ",(G45/$G$45)))</f>
        <v>1</v>
      </c>
      <c r="R45" s="3"/>
      <c r="S45" s="3"/>
    </row>
    <row r="46" spans="1:19" ht="17.25" x14ac:dyDescent="0.35">
      <c r="A46" s="13" t="s">
        <v>142</v>
      </c>
      <c r="B46" s="3"/>
      <c r="C46" s="3"/>
      <c r="D46" s="3"/>
      <c r="E46" s="3"/>
      <c r="F46" s="3"/>
      <c r="G46" s="3"/>
      <c r="H46" s="67"/>
      <c r="I46" s="20"/>
      <c r="J46" s="20"/>
      <c r="K46" s="3"/>
      <c r="L46" s="134" t="s">
        <v>317</v>
      </c>
      <c r="M46" s="134"/>
      <c r="N46" s="134"/>
      <c r="O46" s="135" t="s">
        <v>317</v>
      </c>
      <c r="P46" s="135"/>
      <c r="Q46" s="135"/>
      <c r="R46" s="3"/>
      <c r="S46" s="3"/>
    </row>
    <row r="47" spans="1:19" x14ac:dyDescent="0.25">
      <c r="A47" s="19" t="s">
        <v>143</v>
      </c>
      <c r="B47" s="10">
        <v>3061824</v>
      </c>
      <c r="C47" s="10">
        <f>2815829+300000</f>
        <v>3115829</v>
      </c>
      <c r="D47" s="10">
        <v>0</v>
      </c>
      <c r="E47" s="10">
        <v>0</v>
      </c>
      <c r="F47" s="10">
        <f t="shared" ref="F47:G53" si="17">B47+D47</f>
        <v>3061824</v>
      </c>
      <c r="G47" s="10">
        <f>C47+E47</f>
        <v>3115829</v>
      </c>
      <c r="H47" s="67" t="str">
        <f t="shared" ref="H47:H53" si="18">IF(ABS(B47)+ABS(C47)+ABS(D47)+ABS(E47)+ABS(F47)+ABS(G47)=0,"  Hide"," ")</f>
        <v xml:space="preserve"> </v>
      </c>
      <c r="I47" s="9">
        <f t="shared" ref="I47:I54" si="19">IF(OR(B47&lt;=0,C47&lt;=0),"na   ",IF((B47/C47)-1&gt;$K$26,"nm   ",(B47/C47)-1))</f>
        <v>-1.7332465934427055E-2</v>
      </c>
      <c r="J47" s="9" t="str">
        <f t="shared" ref="J47:J54" si="20">IF(OR(D47&lt;=0,E47&lt;=0),"na   ",IF((D47/E47)-1&gt;$K$26,"nm   ",(D47/E47)-1))</f>
        <v xml:space="preserve">na   </v>
      </c>
      <c r="K47" s="9">
        <f t="shared" ref="K47:K54" si="21">IF(OR(F47&lt;=0,G47&lt;=0),"na   ",IF((F47/G47)-1&gt;$K$26,"nm   ",(F47/G47)-1))</f>
        <v>-1.7332465934427055E-2</v>
      </c>
      <c r="L47" s="121">
        <f t="shared" ref="L47:L54" si="22">IF(OR(B47&lt;=0,$B$54&lt;=0),"na   ",IF((B47/$B$54)&gt;$K$26,"nm   ",(B47/$B$54)))</f>
        <v>0.67714750146517311</v>
      </c>
      <c r="M47" s="121" t="str">
        <f t="shared" ref="M47:M54" si="23">IF(OR(D47&lt;=0,$D$54&lt;=0),"na   ",IF((D47/$D$54)&gt;$K$26,"nm   ",(D47/$D$54)))</f>
        <v xml:space="preserve">na   </v>
      </c>
      <c r="N47" s="121">
        <f t="shared" ref="N47:N54" si="24">IF(OR(F47&lt;=0,$F$54&lt;=0),"na   ",IF((F47/$F$54)&gt;$K$26,"nm   ",(F47/$F$54)))</f>
        <v>0.66432382505885856</v>
      </c>
      <c r="O47" s="121">
        <f t="shared" ref="O47:O54" si="25">IF(OR(C47&lt;=0,$C$54&lt;=0),"na   ",IF((C47/$C$54)&gt;$K$26,"nm   ",(C47/$C$54)))</f>
        <v>0.74850812653940846</v>
      </c>
      <c r="P47" s="121" t="str">
        <f t="shared" ref="P47:P54" si="26">IF(OR(E47&lt;=0,$E$54&lt;=0),"na   ",IF((E47/$E$54)&gt;$K$26,"nm   ",(E47/$E$54)))</f>
        <v xml:space="preserve">na   </v>
      </c>
      <c r="Q47" s="121">
        <f t="shared" ref="Q47:Q54" si="27">IF(OR(G47&lt;=0,$G$54&lt;=0),"na   ",IF((G47/$G$54)&gt;$K$26,"nm   ",(G47/$G$54)))</f>
        <v>0.73205142121157873</v>
      </c>
      <c r="R47" s="3"/>
      <c r="S47" s="3"/>
    </row>
    <row r="48" spans="1:19" x14ac:dyDescent="0.25">
      <c r="A48" s="19" t="s">
        <v>144</v>
      </c>
      <c r="B48" s="10">
        <v>1219439</v>
      </c>
      <c r="C48" s="10">
        <f>875103+68687</f>
        <v>943790</v>
      </c>
      <c r="D48" s="10">
        <v>0</v>
      </c>
      <c r="E48" s="10">
        <v>0</v>
      </c>
      <c r="F48" s="10">
        <f t="shared" si="17"/>
        <v>1219439</v>
      </c>
      <c r="G48" s="10">
        <f t="shared" si="17"/>
        <v>943790</v>
      </c>
      <c r="H48" s="67" t="str">
        <f t="shared" si="18"/>
        <v xml:space="preserve"> </v>
      </c>
      <c r="I48" s="9">
        <f t="shared" si="19"/>
        <v>0.29206603163839406</v>
      </c>
      <c r="J48" s="9" t="str">
        <f t="shared" si="20"/>
        <v xml:space="preserve">na   </v>
      </c>
      <c r="K48" s="9">
        <f t="shared" si="21"/>
        <v>0.29206603163839406</v>
      </c>
      <c r="L48" s="121">
        <f t="shared" si="22"/>
        <v>0.26968894098393287</v>
      </c>
      <c r="M48" s="121" t="str">
        <f t="shared" si="23"/>
        <v xml:space="preserve">na   </v>
      </c>
      <c r="N48" s="121">
        <f t="shared" si="24"/>
        <v>0.26458162876309982</v>
      </c>
      <c r="O48" s="121">
        <f t="shared" si="25"/>
        <v>0.22672440777290034</v>
      </c>
      <c r="P48" s="121" t="str">
        <f t="shared" si="26"/>
        <v xml:space="preserve">na   </v>
      </c>
      <c r="Q48" s="121">
        <f t="shared" si="27"/>
        <v>0.22173964322986783</v>
      </c>
      <c r="R48" s="3"/>
      <c r="S48" s="3"/>
    </row>
    <row r="49" spans="1:19" x14ac:dyDescent="0.25">
      <c r="A49" s="19" t="s">
        <v>254</v>
      </c>
      <c r="B49" s="10">
        <v>0</v>
      </c>
      <c r="C49" s="10">
        <v>0</v>
      </c>
      <c r="D49" s="10">
        <v>0</v>
      </c>
      <c r="E49" s="10">
        <v>0</v>
      </c>
      <c r="F49" s="10">
        <f t="shared" ref="F49" si="28">B49+D49</f>
        <v>0</v>
      </c>
      <c r="G49" s="10">
        <f t="shared" ref="G49" si="29">C49+E49</f>
        <v>0</v>
      </c>
      <c r="H49" s="67" t="str">
        <f t="shared" si="18"/>
        <v xml:space="preserve">  Hide</v>
      </c>
      <c r="I49" s="9" t="str">
        <f t="shared" si="19"/>
        <v xml:space="preserve">na   </v>
      </c>
      <c r="J49" s="9" t="str">
        <f t="shared" si="20"/>
        <v xml:space="preserve">na   </v>
      </c>
      <c r="K49" s="9" t="str">
        <f t="shared" si="21"/>
        <v xml:space="preserve">na   </v>
      </c>
      <c r="L49" s="121" t="str">
        <f t="shared" si="22"/>
        <v xml:space="preserve">na   </v>
      </c>
      <c r="M49" s="121" t="str">
        <f t="shared" si="23"/>
        <v xml:space="preserve">na   </v>
      </c>
      <c r="N49" s="121" t="str">
        <f t="shared" si="24"/>
        <v xml:space="preserve">na   </v>
      </c>
      <c r="O49" s="121" t="str">
        <f t="shared" si="25"/>
        <v xml:space="preserve">na   </v>
      </c>
      <c r="P49" s="121" t="str">
        <f t="shared" si="26"/>
        <v xml:space="preserve">na   </v>
      </c>
      <c r="Q49" s="121" t="str">
        <f t="shared" si="27"/>
        <v xml:space="preserve">na   </v>
      </c>
      <c r="R49" s="3"/>
      <c r="S49" s="3"/>
    </row>
    <row r="50" spans="1:19" x14ac:dyDescent="0.25">
      <c r="A50" s="19" t="s">
        <v>145</v>
      </c>
      <c r="B50" s="10">
        <v>0</v>
      </c>
      <c r="C50" s="10">
        <v>0</v>
      </c>
      <c r="D50" s="10">
        <v>0</v>
      </c>
      <c r="E50" s="10">
        <v>0</v>
      </c>
      <c r="F50" s="10">
        <f t="shared" si="17"/>
        <v>0</v>
      </c>
      <c r="G50" s="10">
        <f t="shared" si="17"/>
        <v>0</v>
      </c>
      <c r="H50" s="67" t="str">
        <f t="shared" si="18"/>
        <v xml:space="preserve">  Hide</v>
      </c>
      <c r="I50" s="9" t="str">
        <f t="shared" si="19"/>
        <v xml:space="preserve">na   </v>
      </c>
      <c r="J50" s="9" t="str">
        <f t="shared" si="20"/>
        <v xml:space="preserve">na   </v>
      </c>
      <c r="K50" s="9" t="str">
        <f t="shared" si="21"/>
        <v xml:space="preserve">na   </v>
      </c>
      <c r="L50" s="121" t="str">
        <f t="shared" si="22"/>
        <v xml:space="preserve">na   </v>
      </c>
      <c r="M50" s="121" t="str">
        <f t="shared" si="23"/>
        <v xml:space="preserve">na   </v>
      </c>
      <c r="N50" s="121" t="str">
        <f t="shared" si="24"/>
        <v xml:space="preserve">na   </v>
      </c>
      <c r="O50" s="121" t="str">
        <f t="shared" si="25"/>
        <v xml:space="preserve">na   </v>
      </c>
      <c r="P50" s="121" t="str">
        <f t="shared" si="26"/>
        <v xml:space="preserve">na   </v>
      </c>
      <c r="Q50" s="121" t="str">
        <f t="shared" si="27"/>
        <v xml:space="preserve">na   </v>
      </c>
      <c r="R50" s="3"/>
      <c r="S50" s="3"/>
    </row>
    <row r="51" spans="1:19" x14ac:dyDescent="0.25">
      <c r="A51" s="19" t="s">
        <v>146</v>
      </c>
      <c r="B51" s="10">
        <v>0</v>
      </c>
      <c r="C51" s="10">
        <v>0</v>
      </c>
      <c r="D51" s="10">
        <v>73029</v>
      </c>
      <c r="E51" s="10">
        <f>80893+3</f>
        <v>80896</v>
      </c>
      <c r="F51" s="10">
        <f t="shared" si="17"/>
        <v>73029</v>
      </c>
      <c r="G51" s="10">
        <f>C51+E51-3</f>
        <v>80893</v>
      </c>
      <c r="H51" s="67" t="str">
        <f t="shared" si="18"/>
        <v xml:space="preserve"> </v>
      </c>
      <c r="I51" s="9" t="str">
        <f t="shared" si="19"/>
        <v xml:space="preserve">na   </v>
      </c>
      <c r="J51" s="9">
        <f t="shared" si="20"/>
        <v>-9.7248318829113889E-2</v>
      </c>
      <c r="K51" s="9">
        <f t="shared" si="21"/>
        <v>-9.7214839355692084E-2</v>
      </c>
      <c r="L51" s="121" t="str">
        <f t="shared" si="22"/>
        <v xml:space="preserve">na   </v>
      </c>
      <c r="M51" s="121">
        <f t="shared" si="23"/>
        <v>0.83669213936276254</v>
      </c>
      <c r="N51" s="121">
        <f t="shared" si="24"/>
        <v>1.584509907173743E-2</v>
      </c>
      <c r="O51" s="121" t="str">
        <f t="shared" si="25"/>
        <v xml:space="preserve">na   </v>
      </c>
      <c r="P51" s="121">
        <f t="shared" si="26"/>
        <v>0.86443974268555923</v>
      </c>
      <c r="Q51" s="121">
        <f t="shared" si="27"/>
        <v>1.9005483168706701E-2</v>
      </c>
      <c r="R51" s="3"/>
      <c r="S51" s="3"/>
    </row>
    <row r="52" spans="1:19" x14ac:dyDescent="0.25">
      <c r="A52" s="19" t="s">
        <v>147</v>
      </c>
      <c r="B52" s="10">
        <v>0</v>
      </c>
      <c r="C52" s="10">
        <v>0</v>
      </c>
      <c r="D52" s="10">
        <v>14254</v>
      </c>
      <c r="E52" s="10">
        <v>12686</v>
      </c>
      <c r="F52" s="10">
        <f t="shared" si="17"/>
        <v>14254</v>
      </c>
      <c r="G52" s="10">
        <f t="shared" si="17"/>
        <v>12686</v>
      </c>
      <c r="H52" s="67" t="str">
        <f t="shared" si="18"/>
        <v xml:space="preserve"> </v>
      </c>
      <c r="I52" s="9" t="str">
        <f t="shared" si="19"/>
        <v xml:space="preserve">na   </v>
      </c>
      <c r="J52" s="9">
        <f t="shared" si="20"/>
        <v>0.12360081980135584</v>
      </c>
      <c r="K52" s="9">
        <f t="shared" si="21"/>
        <v>0.12360081980135584</v>
      </c>
      <c r="L52" s="121" t="str">
        <f t="shared" si="22"/>
        <v xml:space="preserve">na   </v>
      </c>
      <c r="M52" s="121">
        <f t="shared" si="23"/>
        <v>0.16330786063723748</v>
      </c>
      <c r="N52" s="121">
        <f t="shared" si="24"/>
        <v>3.0926897830799451E-3</v>
      </c>
      <c r="O52" s="121" t="str">
        <f t="shared" si="25"/>
        <v xml:space="preserve">na   </v>
      </c>
      <c r="P52" s="121">
        <f t="shared" si="26"/>
        <v>0.13556025731444082</v>
      </c>
      <c r="Q52" s="121">
        <f t="shared" si="27"/>
        <v>2.9805243899745744E-3</v>
      </c>
      <c r="R52" s="3"/>
      <c r="S52" s="3"/>
    </row>
    <row r="53" spans="1:19" ht="17.25" x14ac:dyDescent="0.35">
      <c r="A53" s="19" t="s">
        <v>148</v>
      </c>
      <c r="B53" s="11">
        <v>240387</v>
      </c>
      <c r="C53" s="11">
        <v>103100</v>
      </c>
      <c r="D53" s="11">
        <v>0</v>
      </c>
      <c r="E53" s="11">
        <v>0</v>
      </c>
      <c r="F53" s="11">
        <f t="shared" si="17"/>
        <v>240387</v>
      </c>
      <c r="G53" s="11">
        <f t="shared" si="17"/>
        <v>103100</v>
      </c>
      <c r="H53" s="67" t="str">
        <f t="shared" si="18"/>
        <v xml:space="preserve"> </v>
      </c>
      <c r="I53" s="9">
        <f t="shared" si="19"/>
        <v>1.3315906886517945</v>
      </c>
      <c r="J53" s="9" t="str">
        <f t="shared" si="20"/>
        <v xml:space="preserve">na   </v>
      </c>
      <c r="K53" s="9">
        <f t="shared" si="21"/>
        <v>1.3315906886517945</v>
      </c>
      <c r="L53" s="121">
        <f t="shared" si="22"/>
        <v>5.3163557550894032E-2</v>
      </c>
      <c r="M53" s="121" t="str">
        <f t="shared" si="23"/>
        <v xml:space="preserve">na   </v>
      </c>
      <c r="N53" s="121">
        <f t="shared" si="24"/>
        <v>5.2156757323224272E-2</v>
      </c>
      <c r="O53" s="121">
        <f t="shared" si="25"/>
        <v>2.4767465687691146E-2</v>
      </c>
      <c r="P53" s="121" t="str">
        <f t="shared" si="26"/>
        <v xml:space="preserve">na   </v>
      </c>
      <c r="Q53" s="121">
        <f t="shared" si="27"/>
        <v>2.422292799987219E-2</v>
      </c>
      <c r="R53" s="3"/>
      <c r="S53" s="3"/>
    </row>
    <row r="54" spans="1:19" ht="17.25" x14ac:dyDescent="0.35">
      <c r="A54" s="12" t="s">
        <v>149</v>
      </c>
      <c r="B54" s="11">
        <f t="shared" ref="B54:G54" si="30">SUM(B47:B53)</f>
        <v>4521650</v>
      </c>
      <c r="C54" s="11">
        <f t="shared" si="30"/>
        <v>4162719</v>
      </c>
      <c r="D54" s="11">
        <f t="shared" si="30"/>
        <v>87283</v>
      </c>
      <c r="E54" s="11">
        <f t="shared" si="30"/>
        <v>93582</v>
      </c>
      <c r="F54" s="11">
        <f t="shared" si="30"/>
        <v>4608933</v>
      </c>
      <c r="G54" s="11">
        <f t="shared" si="30"/>
        <v>4256298</v>
      </c>
      <c r="H54" s="67"/>
      <c r="I54" s="9">
        <f t="shared" si="19"/>
        <v>8.6225133140142241E-2</v>
      </c>
      <c r="J54" s="9">
        <f t="shared" si="20"/>
        <v>-6.7309952768694781E-2</v>
      </c>
      <c r="K54" s="9">
        <f t="shared" si="21"/>
        <v>8.28501669760906E-2</v>
      </c>
      <c r="L54" s="121">
        <f t="shared" si="22"/>
        <v>1</v>
      </c>
      <c r="M54" s="121">
        <f t="shared" si="23"/>
        <v>1</v>
      </c>
      <c r="N54" s="121">
        <f t="shared" si="24"/>
        <v>1</v>
      </c>
      <c r="O54" s="121">
        <f t="shared" si="25"/>
        <v>1</v>
      </c>
      <c r="P54" s="121">
        <f t="shared" si="26"/>
        <v>1</v>
      </c>
      <c r="Q54" s="121">
        <f t="shared" si="27"/>
        <v>1</v>
      </c>
      <c r="R54" s="3"/>
      <c r="S54" s="3"/>
    </row>
    <row r="55" spans="1:19" x14ac:dyDescent="0.25">
      <c r="A55" s="3" t="s">
        <v>150</v>
      </c>
      <c r="B55" s="10">
        <f t="shared" ref="B55:G55" si="31">+B45-B54</f>
        <v>86779</v>
      </c>
      <c r="C55" s="10">
        <f t="shared" si="31"/>
        <v>-55055</v>
      </c>
      <c r="D55" s="10">
        <f t="shared" si="31"/>
        <v>28671</v>
      </c>
      <c r="E55" s="10">
        <f t="shared" si="31"/>
        <v>6785</v>
      </c>
      <c r="F55" s="10">
        <f t="shared" si="31"/>
        <v>115450</v>
      </c>
      <c r="G55" s="10">
        <f t="shared" si="31"/>
        <v>-48267</v>
      </c>
      <c r="H55" s="67" t="str">
        <f>H56</f>
        <v xml:space="preserve">  Hide</v>
      </c>
      <c r="I55" s="109" t="str">
        <f>IF(OR(AND(B55&lt;=0,C55&gt;=0),AND(B55&gt;=0,C55&lt;=0)),"na   ",IF((B55/C55)-1&gt;$K$28,"nm   ",(B55/C55)-1))</f>
        <v xml:space="preserve">na   </v>
      </c>
      <c r="J55" s="109" t="str">
        <f>IF(OR(AND(D55&lt;=0,E55&gt;=0),AND(D55&gt;=0,E55&lt;=0)),"na   ",IF((D55/E55)-1&gt;$K$28,"nm   ",(D55/E55)-1))</f>
        <v xml:space="preserve">nm   </v>
      </c>
      <c r="K55" s="109" t="str">
        <f>IF(OR(AND(F55&lt;=0,G55&gt;=0),AND(F55&gt;=0,G55&lt;=0)),"na   ",IF((F55/G55)-1&gt;$K$28,"nm   ",(F55/G55)-1))</f>
        <v xml:space="preserve">na   </v>
      </c>
      <c r="M55" s="3"/>
      <c r="N55" s="3"/>
      <c r="O55" s="3"/>
      <c r="P55" s="3"/>
      <c r="Q55" s="3"/>
      <c r="R55" s="3"/>
      <c r="S55" s="3"/>
    </row>
    <row r="56" spans="1:19" ht="17.25" x14ac:dyDescent="0.35">
      <c r="A56" s="19" t="s">
        <v>151</v>
      </c>
      <c r="B56" s="11">
        <v>0</v>
      </c>
      <c r="C56" s="11">
        <v>0</v>
      </c>
      <c r="D56" s="21">
        <v>0</v>
      </c>
      <c r="E56" s="21">
        <v>0</v>
      </c>
      <c r="F56" s="11">
        <f t="shared" ref="F56:G56" si="32">B56+D56</f>
        <v>0</v>
      </c>
      <c r="G56" s="11">
        <f t="shared" si="32"/>
        <v>0</v>
      </c>
      <c r="H56" s="67" t="str">
        <f t="shared" ref="H56" si="33">IF(ABS(B56)+ABS(C56)+ABS(D56)+ABS(E56)+ABS(F56)+ABS(G56)=0,"  Hide"," ")</f>
        <v xml:space="preserve">  Hide</v>
      </c>
      <c r="I56" s="109" t="str">
        <f>IF(OR(AND(B56&lt;=0,C56&gt;=0),AND(B56&gt;=0,C56&lt;=0)),"na   ",IF((B56/C56)-1&gt;$K$28,"nm   ",(B56/C56)-1))</f>
        <v xml:space="preserve">na   </v>
      </c>
      <c r="J56" s="109" t="str">
        <f>IF(OR(AND(D56&lt;=0,E56&gt;=0),AND(D56&gt;=0,E56&lt;=0)),"na   ",IF((D56/E56)-1&gt;$K$28,"nm   ",(D56/E56)-1))</f>
        <v xml:space="preserve">na   </v>
      </c>
      <c r="K56" s="109" t="str">
        <f>IF(OR(AND(F56&lt;=0,G56&gt;=0),AND(F56&gt;=0,G56&lt;=0)),"na   ",IF((F56/G56)-1&gt;$K$28,"nm   ",(F56/G56)-1))</f>
        <v xml:space="preserve">na   </v>
      </c>
      <c r="L56" t="s">
        <v>252</v>
      </c>
      <c r="M56" s="3"/>
      <c r="N56" s="3"/>
      <c r="O56" s="3"/>
      <c r="P56" s="3"/>
      <c r="Q56" s="3"/>
      <c r="R56" s="3"/>
      <c r="S56" s="3"/>
    </row>
    <row r="57" spans="1:19" x14ac:dyDescent="0.25">
      <c r="A57" s="22" t="s">
        <v>152</v>
      </c>
      <c r="B57" s="10">
        <f t="shared" ref="B57:G57" si="34">+B55+B56</f>
        <v>86779</v>
      </c>
      <c r="C57" s="10">
        <f t="shared" si="34"/>
        <v>-55055</v>
      </c>
      <c r="D57" s="10">
        <f t="shared" si="34"/>
        <v>28671</v>
      </c>
      <c r="E57" s="10">
        <f t="shared" si="34"/>
        <v>6785</v>
      </c>
      <c r="F57" s="10">
        <f>+F55+F56</f>
        <v>115450</v>
      </c>
      <c r="G57" s="10">
        <f t="shared" si="34"/>
        <v>-48267</v>
      </c>
      <c r="H57" s="67"/>
      <c r="I57" s="109" t="str">
        <f>IF(OR(AND(B57&lt;=0,C57&gt;=0),AND(B57&gt;=0,C57&lt;=0)),"na   ",IF((B57/C57)-1&gt;$K$28,"nm   ",(B57/C57)-1))</f>
        <v xml:space="preserve">na   </v>
      </c>
      <c r="J57" s="109" t="str">
        <f>IF(OR(AND(D57&lt;=0,E57&gt;=0),AND(D57&gt;=0,E57&lt;=0)),"na   ",IF((D57/E57)-1&gt;$K$28,"nm   ",(D57/E57)-1))</f>
        <v xml:space="preserve">nm   </v>
      </c>
      <c r="K57" s="109" t="str">
        <f>IF(OR(AND(F57&lt;=0,G57&gt;=0),AND(F57&gt;=0,G57&lt;=0)),"na   ",IF((F57/G57)-1&gt;$K$28,"nm   ",(F57/G57)-1))</f>
        <v xml:space="preserve">na   </v>
      </c>
      <c r="M57" s="3"/>
      <c r="N57" s="3"/>
      <c r="O57" s="3"/>
      <c r="P57" s="3"/>
      <c r="Q57" s="3"/>
      <c r="R57" s="3"/>
      <c r="S57" s="3"/>
    </row>
    <row r="58" spans="1:19" ht="17.25" x14ac:dyDescent="0.35">
      <c r="A58" s="3" t="s">
        <v>153</v>
      </c>
      <c r="B58" s="11">
        <v>1525401</v>
      </c>
      <c r="C58" s="11">
        <f>1896874-316421</f>
        <v>1580453</v>
      </c>
      <c r="D58" s="11">
        <v>21292</v>
      </c>
      <c r="E58" s="11">
        <v>14507</v>
      </c>
      <c r="F58" s="11">
        <f t="shared" ref="F58:G58" si="35">B58+D58</f>
        <v>1546693</v>
      </c>
      <c r="G58" s="11">
        <f t="shared" si="35"/>
        <v>1594960</v>
      </c>
      <c r="H58" s="3"/>
      <c r="I58" s="9">
        <f>IF(OR(B58&lt;=0,C58&lt;=0),"na   ",IF((B58/C58)-1&gt;$K$26,"nm   ",(B58/C58)-1))</f>
        <v>-3.4833051030305873E-2</v>
      </c>
      <c r="J58" s="9">
        <f>IF(OR(D58&lt;=0,E58&lt;=0),"na   ",IF((D58/E58)-1&gt;$K$26,"nm   ",(D58/E58)-1))</f>
        <v>0.46770524574343431</v>
      </c>
      <c r="K58" s="9">
        <f>IF(OR(F58&lt;=0,G58&lt;=0),"na   ",IF((F58/G58)-1&gt;$K$26,"nm   ",(F58/G58)-1))</f>
        <v>-3.0262200932938743E-2</v>
      </c>
      <c r="L58" s="3"/>
      <c r="M58" s="3"/>
      <c r="N58" s="3"/>
      <c r="O58" s="3"/>
      <c r="P58" s="3"/>
      <c r="Q58" s="3"/>
      <c r="R58" s="3"/>
      <c r="S58" s="3"/>
    </row>
    <row r="59" spans="1:19" ht="17.25" x14ac:dyDescent="0.35">
      <c r="A59" s="3" t="s">
        <v>154</v>
      </c>
      <c r="B59" s="15">
        <f>SUM(B57:B58)</f>
        <v>1612180</v>
      </c>
      <c r="C59" s="15">
        <f>B58</f>
        <v>1525401</v>
      </c>
      <c r="D59" s="15">
        <f t="shared" ref="D59:G59" si="36">SUM(D57:D58)</f>
        <v>49963</v>
      </c>
      <c r="E59" s="15">
        <f t="shared" si="36"/>
        <v>21292</v>
      </c>
      <c r="F59" s="15">
        <f t="shared" si="36"/>
        <v>1662143</v>
      </c>
      <c r="G59" s="15">
        <f t="shared" si="36"/>
        <v>1546693</v>
      </c>
      <c r="H59" s="3"/>
      <c r="I59" s="9">
        <f>IF(OR(B59&lt;=0,C59&lt;=0),"na   ",IF((B59/C59)-1&gt;$K$26,"nm   ",(B59/C59)-1))</f>
        <v>5.6889303206173247E-2</v>
      </c>
      <c r="J59" s="9">
        <f>IF(OR(D59&lt;=0,E59&lt;=0),"na   ",IF((D59/E59)-1&gt;$K$26,"nm   ",(D59/E59)-1))</f>
        <v>1.3465620890475294</v>
      </c>
      <c r="K59" s="9">
        <f>IF(OR(F59&lt;=0,G59&lt;=0),"na   ",IF((F59/G59)-1&gt;$K$26,"nm   ",(F59/G59)-1))</f>
        <v>7.4643125688161671E-2</v>
      </c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16" t="s">
        <v>320</v>
      </c>
      <c r="L60" s="118" t="str">
        <f>IF(SUM(L37:L44)=L45,"OK",SUM(L37:L44)-L45)</f>
        <v>OK</v>
      </c>
      <c r="M60" s="118" t="str">
        <f t="shared" ref="M60:Q60" si="37">IF(SUM(M37:M44)=M45,"OK",SUM(M37:M44)-M45)</f>
        <v>OK</v>
      </c>
      <c r="N60" s="118" t="str">
        <f t="shared" si="37"/>
        <v>OK</v>
      </c>
      <c r="O60" s="118" t="str">
        <f t="shared" si="37"/>
        <v>OK</v>
      </c>
      <c r="P60" s="118" t="str">
        <f t="shared" si="37"/>
        <v>OK</v>
      </c>
      <c r="Q60" s="118" t="str">
        <f t="shared" si="37"/>
        <v>OK</v>
      </c>
      <c r="R60" s="3"/>
      <c r="S60" s="3"/>
    </row>
    <row r="61" spans="1:19" x14ac:dyDescent="0.25">
      <c r="A61" s="3"/>
      <c r="B61" s="10"/>
      <c r="C61" s="10"/>
      <c r="D61" s="10"/>
      <c r="E61" s="3"/>
      <c r="F61" s="3"/>
      <c r="G61" s="3"/>
      <c r="H61" s="3"/>
      <c r="I61" s="3"/>
      <c r="J61" s="3"/>
      <c r="K61" s="16" t="s">
        <v>321</v>
      </c>
      <c r="L61" s="118" t="str">
        <f>IF(SUM(L47:L53)=L54,"OK",SUM(L47:L53)-L54)</f>
        <v>OK</v>
      </c>
      <c r="M61" s="118" t="str">
        <f t="shared" ref="M61:Q61" si="38">IF(SUM(M47:M53)=M54,"OK",SUM(M47:M53)-M54)</f>
        <v>OK</v>
      </c>
      <c r="N61" s="118" t="str">
        <f t="shared" si="38"/>
        <v>OK</v>
      </c>
      <c r="O61" s="118" t="str">
        <f t="shared" si="38"/>
        <v>OK</v>
      </c>
      <c r="P61" s="118" t="str">
        <f t="shared" si="38"/>
        <v>OK</v>
      </c>
      <c r="Q61" s="118" t="str">
        <f t="shared" si="38"/>
        <v>OK</v>
      </c>
      <c r="R61" s="3"/>
      <c r="S61" s="3"/>
    </row>
    <row r="62" spans="1:19" x14ac:dyDescent="0.25">
      <c r="A62" s="16" t="s">
        <v>155</v>
      </c>
      <c r="B62" s="7" t="str">
        <f t="shared" ref="B62:G62" si="39">IF(B59-B22=0,"Yes",B59-B22)</f>
        <v>Yes</v>
      </c>
      <c r="C62" s="7" t="str">
        <f t="shared" si="39"/>
        <v>Yes</v>
      </c>
      <c r="D62" s="7" t="str">
        <f t="shared" si="39"/>
        <v>Yes</v>
      </c>
      <c r="E62" s="7" t="str">
        <f t="shared" si="39"/>
        <v>Yes</v>
      </c>
      <c r="F62" s="7" t="str">
        <f t="shared" si="39"/>
        <v>Yes</v>
      </c>
      <c r="G62" s="7" t="str">
        <f t="shared" si="39"/>
        <v>Yes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16" t="s">
        <v>156</v>
      </c>
      <c r="B63" s="3"/>
      <c r="C63" s="3"/>
      <c r="D63" s="3"/>
      <c r="E63" s="3"/>
      <c r="F63" s="23" t="str">
        <f>IF(+B59+D59-F59=0,"Yes",+B59+D59-F59)</f>
        <v>Yes</v>
      </c>
      <c r="G63" s="23" t="str">
        <f>IF(+C59+E59-G59=0,"Yes",+C59+E59-G59)</f>
        <v>Yes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16" t="s">
        <v>157</v>
      </c>
      <c r="B64" s="24" t="str">
        <f>IF(+B58-C59=0,"Yes",+B58-C59)</f>
        <v>Yes</v>
      </c>
      <c r="C64" s="3"/>
      <c r="D64" s="24" t="str">
        <f>IF(+D58-E59=0,"Yes",+D58-E59)</f>
        <v>Yes</v>
      </c>
      <c r="E64" s="3"/>
      <c r="F64" s="24" t="str">
        <f>IF(+F58-G59=0,"Yes",+F58-G59)</f>
        <v>Yes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26" t="s">
        <v>257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128" t="s">
        <v>158</v>
      </c>
      <c r="B69" s="128"/>
      <c r="C69" s="128"/>
      <c r="D69" s="128"/>
      <c r="E69" s="128"/>
      <c r="F69" s="128"/>
      <c r="G69" s="12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7.25" x14ac:dyDescent="0.35">
      <c r="A70" s="151" t="s">
        <v>159</v>
      </c>
      <c r="B70" s="151"/>
      <c r="C70" s="151"/>
      <c r="D70" s="151"/>
      <c r="E70" s="151"/>
      <c r="F70" s="151"/>
      <c r="G70" s="151"/>
      <c r="H70" s="3"/>
      <c r="I70" s="3"/>
      <c r="J70" s="3"/>
      <c r="K70" s="3"/>
      <c r="L70" s="131" t="s">
        <v>318</v>
      </c>
      <c r="M70" s="131"/>
      <c r="N70" s="131"/>
      <c r="O70" s="131" t="s">
        <v>319</v>
      </c>
      <c r="P70" s="131"/>
      <c r="Q70" s="131"/>
      <c r="R70" s="3"/>
      <c r="S70" s="3"/>
    </row>
    <row r="71" spans="1:19" ht="20.25" x14ac:dyDescent="0.55000000000000004">
      <c r="A71" s="3"/>
      <c r="B71" s="131" t="s">
        <v>115</v>
      </c>
      <c r="C71" s="131"/>
      <c r="D71" s="131" t="s">
        <v>116</v>
      </c>
      <c r="E71" s="131"/>
      <c r="F71" s="131" t="s">
        <v>48</v>
      </c>
      <c r="G71" s="131"/>
      <c r="H71" s="3"/>
      <c r="I71" s="152" t="s">
        <v>208</v>
      </c>
      <c r="J71" s="152"/>
      <c r="K71" s="152"/>
      <c r="L71" s="132" t="str">
        <f>CONCATENATE("For Fiscal Year ",YEAR(B72))</f>
        <v>For Fiscal Year 2020</v>
      </c>
      <c r="M71" s="132"/>
      <c r="N71" s="132"/>
      <c r="O71" s="133" t="str">
        <f>CONCATENATE("For Prior Fiscal Year ",YEAR(E72))</f>
        <v>For Prior Fiscal Year 2019</v>
      </c>
      <c r="P71" s="133"/>
      <c r="Q71" s="133"/>
      <c r="R71" s="3"/>
      <c r="S71" s="3"/>
    </row>
    <row r="72" spans="1:19" ht="17.25" x14ac:dyDescent="0.35">
      <c r="A72" s="3"/>
      <c r="B72" s="4">
        <f>B34</f>
        <v>44012</v>
      </c>
      <c r="C72" s="4">
        <f t="shared" ref="C72:G72" si="40">C34</f>
        <v>43646</v>
      </c>
      <c r="D72" s="4">
        <f t="shared" si="40"/>
        <v>44012</v>
      </c>
      <c r="E72" s="4">
        <f t="shared" si="40"/>
        <v>43646</v>
      </c>
      <c r="F72" s="4">
        <f t="shared" si="40"/>
        <v>44012</v>
      </c>
      <c r="G72" s="4">
        <f t="shared" si="40"/>
        <v>43646</v>
      </c>
      <c r="H72" s="3"/>
      <c r="I72" s="5" t="s">
        <v>202</v>
      </c>
      <c r="J72" s="5" t="s">
        <v>203</v>
      </c>
      <c r="K72" s="5" t="s">
        <v>249</v>
      </c>
      <c r="L72" s="119" t="s">
        <v>204</v>
      </c>
      <c r="M72" s="119" t="s">
        <v>311</v>
      </c>
      <c r="N72" s="119" t="s">
        <v>312</v>
      </c>
      <c r="O72" s="119" t="s">
        <v>204</v>
      </c>
      <c r="P72" s="119" t="s">
        <v>311</v>
      </c>
      <c r="Q72" s="119" t="s">
        <v>312</v>
      </c>
      <c r="R72" s="3"/>
      <c r="S72" s="3"/>
    </row>
    <row r="73" spans="1:19" x14ac:dyDescent="0.25">
      <c r="A73" s="3" t="s">
        <v>15</v>
      </c>
      <c r="B73" s="8">
        <f>+'Capital Assets'!N68</f>
        <v>2825813</v>
      </c>
      <c r="C73" s="8">
        <f>+'Capital Assets'!M68</f>
        <v>2825813</v>
      </c>
      <c r="D73" s="8">
        <f>+'Capital Assets'!N193</f>
        <v>0</v>
      </c>
      <c r="E73" s="8">
        <f>+'Capital Assets'!M193</f>
        <v>0</v>
      </c>
      <c r="F73" s="8">
        <f>B73+D73</f>
        <v>2825813</v>
      </c>
      <c r="G73" s="8">
        <f>C73+E73</f>
        <v>2825813</v>
      </c>
      <c r="H73" s="3"/>
      <c r="I73" s="9">
        <f>IF(OR(B73&lt;=0,C73&lt;=0),"na   ",IF((B73/C73)-1&gt;$K$26,"nm   ",(B73/C73)-1))</f>
        <v>0</v>
      </c>
      <c r="J73" s="9" t="str">
        <f>IF(OR(D73&lt;=0,E73&lt;=0),"na   ",IF((D73/E73)-1&gt;$K$26,"nm   ",(D73/E73)-1))</f>
        <v xml:space="preserve">na   </v>
      </c>
      <c r="K73" s="9">
        <f>IF(OR(F73&lt;=0,G73&lt;=0),"na   ",IF((F73/G73)-1&gt;$K$26,"nm   ",(F73/G73)-1))</f>
        <v>0</v>
      </c>
      <c r="L73" s="14">
        <f>IF(OR(B73&lt;=0,$B$77&lt;=0),"na   ",IF((B73/$B$77)&gt;$K$26,"nm   ",(B73/$B$77)))</f>
        <v>0.31201257231088314</v>
      </c>
      <c r="M73" s="14" t="str">
        <f>IF(OR(D73&lt;=0,$D$77&lt;=0),"na   ",IF((D73/$D$77)&gt;$K$26,"nm   ",(D73/$D$77)))</f>
        <v xml:space="preserve">na   </v>
      </c>
      <c r="N73" s="14">
        <f>IF(OR(F73&lt;=0,$F$77&lt;=0),"na   ",IF((F73/$F$77)&gt;$K$26,"nm   ",(F73/$F$77)))</f>
        <v>0.31086131774538245</v>
      </c>
      <c r="O73" s="14">
        <f>IF(OR(C73&lt;=0,$C$77&lt;=0),"na   ",IF((C73/$C$77)&gt;$K$26,"nm   ",(C73/$C$77)))</f>
        <v>0.33213497466980002</v>
      </c>
      <c r="P73" s="14" t="str">
        <f>IF(OR(E73&lt;=0,$E$77&lt;=0),"na   ",IF((E73/$E$77)&gt;$K$26,"nm   ",(E73/$E$77)))</f>
        <v xml:space="preserve">na   </v>
      </c>
      <c r="Q73" s="14">
        <f>IF(OR(G73&lt;=0,$G$77&lt;=0),"na   ",IF((G73/$G$77)&gt;$K$26,"nm   ",(G73/$G$77)))</f>
        <v>0.33111714671089043</v>
      </c>
      <c r="R73" s="3"/>
      <c r="S73" s="3"/>
    </row>
    <row r="74" spans="1:19" x14ac:dyDescent="0.25">
      <c r="A74" s="3" t="s">
        <v>16</v>
      </c>
      <c r="B74" s="10">
        <f>'Capital Assets'!N69</f>
        <v>5525245</v>
      </c>
      <c r="C74" s="10">
        <f>'Capital Assets'!M69</f>
        <v>5068020</v>
      </c>
      <c r="D74" s="10">
        <f>'Capital Assets'!N194</f>
        <v>0</v>
      </c>
      <c r="E74" s="10">
        <f>+'Capital Assets'!M194</f>
        <v>0</v>
      </c>
      <c r="F74" s="10">
        <f t="shared" ref="F74:G76" si="41">B74+D74</f>
        <v>5525245</v>
      </c>
      <c r="G74" s="10">
        <f t="shared" si="41"/>
        <v>5068020</v>
      </c>
      <c r="H74" s="3"/>
      <c r="I74" s="9">
        <f>IF(OR(B74&lt;=0,C74&lt;=0),"na   ",IF((B74/C74)-1&gt;$K$26,"nm   ",(B74/C74)-1))</f>
        <v>9.0217678698979009E-2</v>
      </c>
      <c r="J74" s="9" t="str">
        <f>IF(OR(D74&lt;=0,E74&lt;=0),"na   ",IF((D74/E74)-1&gt;$K$26,"nm   ",(D74/E74)-1))</f>
        <v xml:space="preserve">na   </v>
      </c>
      <c r="K74" s="9">
        <f>IF(OR(F74&lt;=0,G74&lt;=0),"na   ",IF((F74/G74)-1&gt;$K$26,"nm   ",(F74/G74)-1))</f>
        <v>9.0217678698979009E-2</v>
      </c>
      <c r="L74" s="14">
        <f>IF(OR(B74&lt;=0,$B$77&lt;=0),"na   ",IF((B74/$B$77)&gt;$K$26,"nm   ",(B74/$B$77)))</f>
        <v>0.61007076727930887</v>
      </c>
      <c r="M74" s="14" t="str">
        <f>IF(OR(D74&lt;=0,$D$77&lt;=0),"na   ",IF((D74/$D$77)&gt;$K$26,"nm   ",(D74/$D$77)))</f>
        <v xml:space="preserve">na   </v>
      </c>
      <c r="N74" s="14">
        <f>IF(OR(F74&lt;=0,$F$77&lt;=0),"na   ",IF((F74/$F$77)&gt;$K$26,"nm   ",(F74/$F$77)))</f>
        <v>0.60781974658835725</v>
      </c>
      <c r="O74" s="14">
        <f>IF(OR(C74&lt;=0,$C$77&lt;=0),"na   ",IF((C74/$C$77)&gt;$K$26,"nm   ",(C74/$C$77)))</f>
        <v>0.59567518952104759</v>
      </c>
      <c r="P74" s="14" t="str">
        <f>IF(OR(E74&lt;=0,$E$77&lt;=0),"na   ",IF((E74/$E$77)&gt;$K$26,"nm   ",(E74/$E$77)))</f>
        <v xml:space="preserve">na   </v>
      </c>
      <c r="Q74" s="14">
        <f>IF(OR(G74&lt;=0,$G$77&lt;=0),"na   ",IF((G74/$G$77)&gt;$K$26,"nm   ",(G74/$G$77)))</f>
        <v>0.59384974231264664</v>
      </c>
      <c r="R74" s="3"/>
      <c r="S74" s="3"/>
    </row>
    <row r="75" spans="1:19" x14ac:dyDescent="0.25">
      <c r="A75" s="3" t="s">
        <v>160</v>
      </c>
      <c r="B75" s="10">
        <f>'Capital Assets'!N70</f>
        <v>579989</v>
      </c>
      <c r="C75" s="10">
        <f>'Capital Assets'!M70</f>
        <v>484068</v>
      </c>
      <c r="D75" s="10">
        <f>+'Capital Assets'!N195</f>
        <v>23843</v>
      </c>
      <c r="E75" s="10">
        <f>+'Capital Assets'!M195</f>
        <v>15831</v>
      </c>
      <c r="F75" s="10">
        <f t="shared" si="41"/>
        <v>603832</v>
      </c>
      <c r="G75" s="10">
        <f t="shared" si="41"/>
        <v>499899</v>
      </c>
      <c r="H75" s="3"/>
      <c r="I75" s="9">
        <f>IF(OR(B75&lt;=0,C75&lt;=0),"na   ",IF((B75/C75)-1&gt;$K$26,"nm   ",(B75/C75)-1))</f>
        <v>0.19815604419213839</v>
      </c>
      <c r="J75" s="9">
        <f>IF(OR(D75&lt;=0,E75&lt;=0),"na   ",IF((D75/E75)-1&gt;$K$26,"nm   ",(D75/E75)-1))</f>
        <v>0.50609563514623201</v>
      </c>
      <c r="K75" s="9">
        <f>IF(OR(F75&lt;=0,G75&lt;=0),"na   ",IF((F75/G75)-1&gt;$K$26,"nm   ",(F75/G75)-1))</f>
        <v>0.20790799741547783</v>
      </c>
      <c r="L75" s="14">
        <f>IF(OR(B75&lt;=0,$B$77&lt;=0),"na   ",IF((B75/$B$77)&gt;$K$26,"nm   ",(B75/$B$77)))</f>
        <v>6.4039573673847772E-2</v>
      </c>
      <c r="M75" s="14">
        <f>IF(OR(D75&lt;=0,$D$77&lt;=0),"na   ",IF((D75/$D$77)&gt;$K$26,"nm   ",(D75/$D$77)))</f>
        <v>0.71086133388986616</v>
      </c>
      <c r="N75" s="14">
        <f>IF(OR(F75&lt;=0,$F$77&lt;=0),"na   ",IF((F75/$F$77)&gt;$K$26,"nm   ",(F75/$F$77)))</f>
        <v>6.64261970685356E-2</v>
      </c>
      <c r="O75" s="14">
        <f>IF(OR(C75&lt;=0,$C$77&lt;=0),"na   ",IF((C75/$C$77)&gt;$K$26,"nm   ",(C75/$C$77)))</f>
        <v>5.6895453775058988E-2</v>
      </c>
      <c r="P75" s="14">
        <f>IF(OR(E75&lt;=0,$E$77&lt;=0),"na   ",IF((E75/$E$77)&gt;$K$26,"nm   ",(E75/$E$77)))</f>
        <v>0.60532252514051921</v>
      </c>
      <c r="Q75" s="14">
        <f>IF(OR(G75&lt;=0,$G$77&lt;=0),"na   ",IF((G75/$G$77)&gt;$K$26,"nm   ",(G75/$G$77)))</f>
        <v>5.8576109078565142E-2</v>
      </c>
      <c r="R75" s="3"/>
      <c r="S75" s="3"/>
    </row>
    <row r="76" spans="1:19" ht="17.25" x14ac:dyDescent="0.35">
      <c r="A76" s="3" t="s">
        <v>18</v>
      </c>
      <c r="B76" s="11">
        <f>'Capital Assets'!N71</f>
        <v>125681</v>
      </c>
      <c r="C76" s="11">
        <f>'Capital Assets'!M71</f>
        <v>130125</v>
      </c>
      <c r="D76" s="11">
        <f>+'Capital Assets'!N196</f>
        <v>9698</v>
      </c>
      <c r="E76" s="11">
        <f>+'Capital Assets'!M196</f>
        <v>10322</v>
      </c>
      <c r="F76" s="11">
        <f t="shared" si="41"/>
        <v>135379</v>
      </c>
      <c r="G76" s="11">
        <f t="shared" si="41"/>
        <v>140447</v>
      </c>
      <c r="H76" s="3"/>
      <c r="I76" s="9">
        <f>IF(OR(B76&lt;=0,C76&lt;=0),"na   ",IF((B76/C76)-1&gt;$K$26,"nm   ",(B76/C76)-1))</f>
        <v>-3.4151777137367945E-2</v>
      </c>
      <c r="J76" s="9">
        <f>IF(OR(D76&lt;=0,E76&lt;=0),"na   ",IF((D76/E76)-1&gt;$K$26,"nm   ",(D76/E76)-1))</f>
        <v>-6.0453400503778343E-2</v>
      </c>
      <c r="K76" s="9">
        <f>IF(OR(F76&lt;=0,G76&lt;=0),"na   ",IF((F76/G76)-1&gt;$K$26,"nm   ",(F76/G76)-1))</f>
        <v>-3.6084786431892502E-2</v>
      </c>
      <c r="L76" s="14">
        <f>IF(OR(B76&lt;=0,$B$77&lt;=0),"na   ",IF((B76/$B$77)&gt;$K$26,"nm   ",(B76/$B$77)))</f>
        <v>1.3877086735960272E-2</v>
      </c>
      <c r="M76" s="14">
        <f>IF(OR(D76&lt;=0,$D$77&lt;=0),"na   ",IF((D76/$D$77)&gt;$K$26,"nm   ",(D76/$D$77)))</f>
        <v>0.28913866611013389</v>
      </c>
      <c r="N76" s="14">
        <f>IF(OR(F76&lt;=0,$F$77&lt;=0),"na   ",IF((F76/$F$77)&gt;$K$26,"nm   ",(F76/$F$77)))</f>
        <v>1.4892738597724666E-2</v>
      </c>
      <c r="O76" s="14">
        <f>IF(OR(C76&lt;=0,$C$77&lt;=0),"na   ",IF((C76/$C$77)&gt;$K$26,"nm   ",(C76/$C$77)))</f>
        <v>1.5294382034093454E-2</v>
      </c>
      <c r="P76" s="14">
        <f>IF(OR(E76&lt;=0,$E$77&lt;=0),"na   ",IF((E76/$E$77)&gt;$K$26,"nm   ",(E76/$E$77)))</f>
        <v>0.39467747485948074</v>
      </c>
      <c r="Q76" s="14">
        <f>IF(OR(G76&lt;=0,$G$77&lt;=0),"na   ",IF((G76/$G$77)&gt;$K$26,"nm   ",(G76/$G$77)))</f>
        <v>1.6457001897897852E-2</v>
      </c>
      <c r="R76" s="3"/>
      <c r="S76" s="3"/>
    </row>
    <row r="77" spans="1:19" ht="17.25" x14ac:dyDescent="0.35">
      <c r="A77" s="12" t="s">
        <v>161</v>
      </c>
      <c r="B77" s="15">
        <f>SUM(B73:B76)</f>
        <v>9056728</v>
      </c>
      <c r="C77" s="15">
        <f t="shared" ref="C77:D77" si="42">SUM(C73:C76)</f>
        <v>8508026</v>
      </c>
      <c r="D77" s="15">
        <f t="shared" si="42"/>
        <v>33541</v>
      </c>
      <c r="E77" s="15">
        <f>SUM(E73:E76)</f>
        <v>26153</v>
      </c>
      <c r="F77" s="15">
        <f t="shared" ref="F77:G77" si="43">SUM(F73:F76)</f>
        <v>9090269</v>
      </c>
      <c r="G77" s="15">
        <f t="shared" si="43"/>
        <v>8534179</v>
      </c>
      <c r="H77" s="3"/>
      <c r="I77" s="9">
        <f>IF(OR(B77&lt;=0,C77&lt;=0),"na   ",IF((B77/C77)-1&gt;$K$26,"nm   ",(B77/C77)-1))</f>
        <v>6.4492280583063666E-2</v>
      </c>
      <c r="J77" s="9">
        <f>IF(OR(D77&lt;=0,E77&lt;=0),"na   ",IF((D77/E77)-1&gt;$K$26,"nm   ",(D77/E77)-1))</f>
        <v>0.28249149237181204</v>
      </c>
      <c r="K77" s="9">
        <f>IF(OR(F77&lt;=0,G77&lt;=0),"na   ",IF((F77/G77)-1&gt;$K$26,"nm   ",(F77/G77)-1))</f>
        <v>6.5160339383554033E-2</v>
      </c>
      <c r="L77" s="14">
        <f>IF(OR(B77&lt;=0,$B$77&lt;=0),"na   ",IF((B77/$B$77)&gt;$K$26,"nm   ",(B77/$B$77)))</f>
        <v>1</v>
      </c>
      <c r="M77" s="14">
        <f>IF(OR(D77&lt;=0,$D$77&lt;=0),"na   ",IF((D77/$D$77)&gt;$K$26,"nm   ",(D77/$D$77)))</f>
        <v>1</v>
      </c>
      <c r="N77" s="14">
        <f>IF(OR(F77&lt;=0,$F$77&lt;=0),"na   ",IF((F77/$F$77)&gt;$K$26,"nm   ",(F77/$F$77)))</f>
        <v>1</v>
      </c>
      <c r="O77" s="14">
        <f>IF(OR(C77&lt;=0,$C$77&lt;=0),"na   ",IF((C77/$C$77)&gt;$K$26,"nm   ",(C77/$C$77)))</f>
        <v>1</v>
      </c>
      <c r="P77" s="14">
        <f>IF(OR(E77&lt;=0,$E$77&lt;=0),"na   ",IF((E77/$E$77)&gt;$K$26,"nm   ",(E77/$E$77)))</f>
        <v>1</v>
      </c>
      <c r="Q77" s="14">
        <f>IF(OR(G77&lt;=0,$G$77&lt;=0),"na   ",IF((G77/$G$77)&gt;$K$26,"nm   ",(G77/$G$77)))</f>
        <v>1</v>
      </c>
      <c r="R77" s="3"/>
      <c r="S77" s="3"/>
    </row>
    <row r="78" spans="1:1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118" t="str">
        <f>IF(SUM(L73:L76)=L77,"OK",SUM(L73:L76)-L77)</f>
        <v>OK</v>
      </c>
      <c r="M78" s="118" t="str">
        <f t="shared" ref="M78:Q78" si="44">IF(SUM(M73:M76)=M77,"OK",SUM(M73:M76)-M77)</f>
        <v>OK</v>
      </c>
      <c r="N78" s="118" t="str">
        <f t="shared" si="44"/>
        <v>OK</v>
      </c>
      <c r="O78" s="118" t="str">
        <f t="shared" si="44"/>
        <v>OK</v>
      </c>
      <c r="P78" s="118" t="str">
        <f t="shared" si="44"/>
        <v>OK</v>
      </c>
      <c r="Q78" s="118" t="str">
        <f t="shared" si="44"/>
        <v>OK</v>
      </c>
      <c r="R78" s="3"/>
      <c r="S78" s="3"/>
    </row>
    <row r="79" spans="1:1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5">
      <c r="A80" s="16" t="s">
        <v>207</v>
      </c>
      <c r="B80" s="7" t="str">
        <f t="shared" ref="B80:G80" si="45">IF(B77-B12=0,"Yes",B77-B12)</f>
        <v>Yes</v>
      </c>
      <c r="C80" s="7" t="str">
        <f t="shared" si="45"/>
        <v>Yes</v>
      </c>
      <c r="D80" s="7" t="str">
        <f t="shared" si="45"/>
        <v>Yes</v>
      </c>
      <c r="E80" s="7" t="str">
        <f t="shared" si="45"/>
        <v>Yes</v>
      </c>
      <c r="F80" s="7" t="str">
        <f t="shared" si="45"/>
        <v>Yes</v>
      </c>
      <c r="G80" s="7" t="str">
        <f t="shared" si="45"/>
        <v>Yes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5">
      <c r="A81" s="16" t="s">
        <v>156</v>
      </c>
      <c r="B81" s="3"/>
      <c r="C81" s="3"/>
      <c r="D81" s="3"/>
      <c r="E81" s="3"/>
      <c r="F81" s="23" t="str">
        <f>IF(+B77+D77-F77=0,"Yes",+B77+D77-F77)</f>
        <v>Yes</v>
      </c>
      <c r="G81" s="23" t="str">
        <f>IF(+C77+E77-G77=0,"Yes",+C77+E77-G77)</f>
        <v>Yes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5">
      <c r="A84" s="26" t="s">
        <v>258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5">
      <c r="A86" s="128" t="s">
        <v>162</v>
      </c>
      <c r="B86" s="128"/>
      <c r="C86" s="128"/>
      <c r="D86" s="128"/>
      <c r="E86" s="128"/>
      <c r="F86" s="128"/>
      <c r="G86" s="12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5">
      <c r="A87" s="151" t="s">
        <v>163</v>
      </c>
      <c r="B87" s="151"/>
      <c r="C87" s="151"/>
      <c r="D87" s="151"/>
      <c r="E87" s="151"/>
      <c r="F87" s="151"/>
      <c r="G87" s="15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20.25" x14ac:dyDescent="0.55000000000000004">
      <c r="A88" s="3"/>
      <c r="B88" s="131" t="s">
        <v>115</v>
      </c>
      <c r="C88" s="131"/>
      <c r="D88" s="131" t="s">
        <v>116</v>
      </c>
      <c r="E88" s="131"/>
      <c r="F88" s="131" t="s">
        <v>48</v>
      </c>
      <c r="G88" s="131"/>
      <c r="H88" s="3"/>
      <c r="I88" s="152" t="s">
        <v>208</v>
      </c>
      <c r="J88" s="152"/>
      <c r="K88" s="152"/>
      <c r="L88" s="132" t="str">
        <f>CONCATENATE("For Fiscal Year ",YEAR(B89))</f>
        <v>For Fiscal Year 2020</v>
      </c>
      <c r="M88" s="132"/>
      <c r="N88" s="132"/>
      <c r="O88" s="133" t="str">
        <f>CONCATENATE("For Prior Fiscal Year ",YEAR(E89))</f>
        <v>For Prior Fiscal Year 2019</v>
      </c>
      <c r="P88" s="133"/>
      <c r="Q88" s="133"/>
      <c r="R88" s="3"/>
      <c r="S88" s="3"/>
    </row>
    <row r="89" spans="1:19" ht="17.25" x14ac:dyDescent="0.35">
      <c r="A89" s="3"/>
      <c r="B89" s="4">
        <f>B72</f>
        <v>44012</v>
      </c>
      <c r="C89" s="4">
        <f t="shared" ref="C89:G89" si="46">C72</f>
        <v>43646</v>
      </c>
      <c r="D89" s="4">
        <f t="shared" si="46"/>
        <v>44012</v>
      </c>
      <c r="E89" s="4">
        <f t="shared" si="46"/>
        <v>43646</v>
      </c>
      <c r="F89" s="4">
        <f t="shared" si="46"/>
        <v>44012</v>
      </c>
      <c r="G89" s="4">
        <f t="shared" si="46"/>
        <v>43646</v>
      </c>
      <c r="H89" s="3"/>
      <c r="I89" s="5" t="s">
        <v>202</v>
      </c>
      <c r="J89" s="5" t="s">
        <v>203</v>
      </c>
      <c r="K89" s="5" t="s">
        <v>249</v>
      </c>
      <c r="L89" s="119" t="s">
        <v>204</v>
      </c>
      <c r="M89" s="119" t="s">
        <v>311</v>
      </c>
      <c r="N89" s="119" t="s">
        <v>312</v>
      </c>
      <c r="O89" s="119" t="s">
        <v>204</v>
      </c>
      <c r="P89" s="119" t="s">
        <v>311</v>
      </c>
      <c r="Q89" s="119" t="s">
        <v>312</v>
      </c>
      <c r="R89" s="3"/>
      <c r="S89" s="3"/>
    </row>
    <row r="90" spans="1:19" x14ac:dyDescent="0.25">
      <c r="A90" s="3" t="s">
        <v>164</v>
      </c>
      <c r="B90" s="8">
        <v>782177</v>
      </c>
      <c r="C90" s="8">
        <v>155177</v>
      </c>
      <c r="D90" s="8">
        <v>0</v>
      </c>
      <c r="E90" s="8">
        <v>0</v>
      </c>
      <c r="F90" s="8">
        <f>B90+D90</f>
        <v>782177</v>
      </c>
      <c r="G90" s="8">
        <f>C90+E90</f>
        <v>155177</v>
      </c>
      <c r="H90" s="3"/>
      <c r="I90" s="9" t="str">
        <f>IF(OR(B90&lt;=0,C90&lt;=0),"na   ",IF((B90/C90)-1&gt;$K$26,"nm   ",(B90/C90)-1))</f>
        <v xml:space="preserve">nm   </v>
      </c>
      <c r="J90" s="9" t="str">
        <f>IF(OR(D90&lt;=0,E90&lt;=0),"na   ",IF((D90/E90)-1&gt;$K$26,"nm   ",(D90/E90)-1))</f>
        <v xml:space="preserve">na   </v>
      </c>
      <c r="K90" s="9" t="str">
        <f>IF(OR(F90&lt;=0,G90&lt;=0),"na   ",IF((F90/G90)-1&gt;$K$26,"nm   ",(F90/G90)-1))</f>
        <v xml:space="preserve">nm   </v>
      </c>
      <c r="L90" s="14">
        <f>IF(OR(B90&lt;=0,$B$94&lt;=0),"na   ",IF((B90/$B$94)&gt;$K$26,"nm   ",(B90/$B$94)))</f>
        <v>9.548595258034509E-2</v>
      </c>
      <c r="M90" s="14" t="str">
        <f>IF(OR(D90&lt;=0,$D$94&lt;=0),"na   ",IF((D90/$D$94)&gt;$K$26,"nm   ",(D90/$D$94)))</f>
        <v xml:space="preserve">na   </v>
      </c>
      <c r="N90" s="14">
        <f>IF(OR(F90&lt;=0,$F$94&lt;=0),"na   ",IF((F90/$F$94)&gt;$K$26,"nm   ",(F90/$F$94)))</f>
        <v>9.5466804537381864E-2</v>
      </c>
      <c r="O90" s="14">
        <f>IF(OR(C90&lt;=0,$C$94&lt;=0),"na   ",IF((C90/$C$94)&gt;$K$26,"nm   ",(C90/$C$94)))</f>
        <v>2.0375666377793533E-2</v>
      </c>
      <c r="P90" s="14" t="str">
        <f>IF(OR(E90&lt;=0,$E$94&lt;=0),"na   ",IF((E90/$E$94)&gt;$K$26,"nm   ",(E90/$E$94)))</f>
        <v xml:space="preserve">na   </v>
      </c>
      <c r="Q90" s="14">
        <f>IF(OR(G90&lt;=0,$G$94&lt;=0),"na   ",IF((G90/$G$94)&gt;$K$26,"nm   ",(G90/$G$94)))</f>
        <v>2.0375666377793533E-2</v>
      </c>
      <c r="R90" s="3"/>
      <c r="S90" s="3"/>
    </row>
    <row r="91" spans="1:19" x14ac:dyDescent="0.25">
      <c r="A91" s="26" t="s">
        <v>326</v>
      </c>
      <c r="B91" s="10">
        <v>100000</v>
      </c>
      <c r="C91" s="10">
        <v>25000</v>
      </c>
      <c r="D91" s="10">
        <v>0</v>
      </c>
      <c r="E91" s="10">
        <v>0</v>
      </c>
      <c r="F91" s="10">
        <f t="shared" ref="F91:F92" si="47">B91+D91</f>
        <v>100000</v>
      </c>
      <c r="G91" s="10">
        <f t="shared" ref="G91:G92" si="48">C91+E91</f>
        <v>25000</v>
      </c>
      <c r="H91" s="3"/>
      <c r="I91" s="9">
        <f>IF(OR(B91&lt;=0,C91&lt;=0),"na   ",IF((B91/C91)-1&gt;$K$26,"nm   ",(B91/C91)-1))</f>
        <v>3</v>
      </c>
      <c r="J91" s="9" t="str">
        <f>IF(OR(D91&lt;=0,E91&lt;=0),"na   ",IF((D91/E91)-1&gt;$K$26,"nm   ",(D91/E91)-1))</f>
        <v xml:space="preserve">na   </v>
      </c>
      <c r="K91" s="9">
        <f>IF(OR(F91&lt;=0,G91&lt;=0),"na   ",IF((F91/G91)-1&gt;$K$26,"nm   ",(F91/G91)-1))</f>
        <v>3</v>
      </c>
      <c r="L91" s="14">
        <f>IF(OR(B91&lt;=0,$B$94&lt;=0),"na   ",IF((B91/$B$94)&gt;$K$26,"nm   ",(B91/$B$94)))</f>
        <v>1.2207716741906894E-2</v>
      </c>
      <c r="M91" s="14" t="str">
        <f>IF(OR(D91&lt;=0,$D$94&lt;=0),"na   ",IF((D91/$D$94)&gt;$K$26,"nm   ",(D91/$D$94)))</f>
        <v xml:space="preserve">na   </v>
      </c>
      <c r="N91" s="14">
        <f>IF(OR(F91&lt;=0,$F$94&lt;=0),"na   ",IF((F91/$F$94)&gt;$K$26,"nm   ",(F91/$F$94)))</f>
        <v>1.2205268697159578E-2</v>
      </c>
      <c r="O91" s="14">
        <f>IF(OR(C91&lt;=0,$C$94&lt;=0),"na   ",IF((C91/$C$94)&gt;$K$26,"nm   ",(C91/$C$94)))</f>
        <v>3.2826492292339611E-3</v>
      </c>
      <c r="P91" s="14" t="str">
        <f>IF(OR(E91&lt;=0,$E$94&lt;=0),"na   ",IF((E91/$E$94)&gt;$K$26,"nm   ",(E91/$E$94)))</f>
        <v xml:space="preserve">na   </v>
      </c>
      <c r="Q91" s="14">
        <f>IF(OR(G91&lt;=0,$G$94&lt;=0),"na   ",IF((G91/$G$94)&gt;$K$26,"nm   ",(G91/$G$94)))</f>
        <v>3.2826492292339611E-3</v>
      </c>
      <c r="R91" s="3"/>
      <c r="S91" s="3"/>
    </row>
    <row r="92" spans="1:19" x14ac:dyDescent="0.25">
      <c r="A92" s="26" t="s">
        <v>305</v>
      </c>
      <c r="B92" s="10">
        <v>7271518</v>
      </c>
      <c r="C92" s="10">
        <v>7396518</v>
      </c>
      <c r="D92" s="10">
        <v>0</v>
      </c>
      <c r="E92" s="10">
        <v>0</v>
      </c>
      <c r="F92" s="10">
        <f t="shared" si="47"/>
        <v>7271518</v>
      </c>
      <c r="G92" s="10">
        <f t="shared" si="48"/>
        <v>7396518</v>
      </c>
      <c r="H92" s="3"/>
      <c r="I92" s="9">
        <f>IF(OR(B92&lt;=0,C92&lt;=0),"na   ",IF((B92/C92)-1&gt;$K$26,"nm   ",(B92/C92)-1))</f>
        <v>-1.689984395360089E-2</v>
      </c>
      <c r="J92" s="9" t="str">
        <f>IF(OR(D92&lt;=0,E92&lt;=0),"na   ",IF((D92/E92)-1&gt;$K$26,"nm   ",(D92/E92)-1))</f>
        <v xml:space="preserve">na   </v>
      </c>
      <c r="K92" s="9">
        <f>IF(OR(F92&lt;=0,G92&lt;=0),"na   ",IF((F92/G92)-1&gt;$K$26,"nm   ",(F92/G92)-1))</f>
        <v>-1.689984395360089E-2</v>
      </c>
      <c r="L92" s="14">
        <f>IF(OR(B92&lt;=0,$B$94&lt;=0),"na   ",IF((B92/$B$94)&gt;$K$26,"nm   ",(B92/$B$94)))</f>
        <v>0.8876863202767733</v>
      </c>
      <c r="M92" s="14" t="str">
        <f>IF(OR(D92&lt;=0,$D$94&lt;=0),"na   ",IF((D92/$D$94)&gt;$K$26,"nm   ",(D92/$D$94)))</f>
        <v xml:space="preserve">na   </v>
      </c>
      <c r="N92" s="14">
        <f>IF(OR(F92&lt;=0,$F$94&lt;=0),"na   ",IF((F92/$F$94)&gt;$K$26,"nm   ",(F92/$F$94)))</f>
        <v>0.88750831026232413</v>
      </c>
      <c r="O92" s="14">
        <f>IF(OR(C92&lt;=0,$C$94&lt;=0),"na   ",IF((C92/$C$94)&gt;$K$26,"nm   ",(C92/$C$94)))</f>
        <v>0.97120696446860477</v>
      </c>
      <c r="P92" s="14" t="str">
        <f>IF(OR(E92&lt;=0,$E$94&lt;=0),"na   ",IF((E92/$E$94)&gt;$K$26,"nm   ",(E92/$E$94)))</f>
        <v xml:space="preserve">na   </v>
      </c>
      <c r="Q92" s="14">
        <f>IF(OR(G92&lt;=0,$G$94&lt;=0),"na   ",IF((G92/$G$94)&gt;$K$26,"nm   ",(G92/$G$94)))</f>
        <v>0.97120696446860477</v>
      </c>
      <c r="R92" s="3"/>
      <c r="S92" s="3"/>
    </row>
    <row r="93" spans="1:19" ht="17.25" x14ac:dyDescent="0.35">
      <c r="A93" s="3" t="s">
        <v>5</v>
      </c>
      <c r="B93" s="11">
        <v>37845</v>
      </c>
      <c r="C93" s="11">
        <v>39105</v>
      </c>
      <c r="D93" s="11">
        <v>1643</v>
      </c>
      <c r="E93" s="11">
        <v>0</v>
      </c>
      <c r="F93" s="11">
        <f t="shared" ref="F93:G93" si="49">B93+D93</f>
        <v>39488</v>
      </c>
      <c r="G93" s="11">
        <f t="shared" si="49"/>
        <v>39105</v>
      </c>
      <c r="H93" s="3"/>
      <c r="I93" s="9">
        <f>IF(OR(B93&lt;=0,C93&lt;=0),"na   ",IF((B93/C93)-1&gt;$K$26,"nm   ",(B93/C93)-1))</f>
        <v>-3.2220943613348707E-2</v>
      </c>
      <c r="J93" s="9" t="str">
        <f>IF(OR(D93&lt;=0,E93&lt;=0),"na   ",IF((D93/E93)-1&gt;$K$26,"nm   ",(D93/E93)-1))</f>
        <v xml:space="preserve">na   </v>
      </c>
      <c r="K93" s="9">
        <f>IF(OR(F93&lt;=0,G93&lt;=0),"na   ",IF((F93/G93)-1&gt;$K$26,"nm   ",(F93/G93)-1))</f>
        <v>9.7941439713591372E-3</v>
      </c>
      <c r="L93" s="14">
        <f>IF(OR(B93&lt;=0,$B$94&lt;=0),"na   ",IF((B93/$B$94)&gt;$K$26,"nm   ",(B93/$B$94)))</f>
        <v>4.620010400974664E-3</v>
      </c>
      <c r="M93" s="14">
        <f>IF(OR(D93&lt;=0,$D$94&lt;=0),"na   ",IF((D93/$D$94)&gt;$K$26,"nm   ",(D93/$D$94)))</f>
        <v>1</v>
      </c>
      <c r="N93" s="14">
        <f>IF(OR(F93&lt;=0,$F$94&lt;=0),"na   ",IF((F93/$F$94)&gt;$K$26,"nm   ",(F93/$F$94)))</f>
        <v>4.8196165031343741E-3</v>
      </c>
      <c r="O93" s="14">
        <f>IF(OR(C93&lt;=0,$C$94&lt;=0),"na   ",IF((C93/$C$94)&gt;$K$26,"nm   ",(C93/$C$94)))</f>
        <v>5.1347199243677614E-3</v>
      </c>
      <c r="P93" s="14" t="str">
        <f>IF(OR(E93&lt;=0,$E$94&lt;=0),"na   ",IF((E93/$E$94)&gt;$K$26,"nm   ",(E93/$E$94)))</f>
        <v xml:space="preserve">na   </v>
      </c>
      <c r="Q93" s="14">
        <f>IF(OR(G93&lt;=0,$G$94&lt;=0),"na   ",IF((G93/$G$94)&gt;$K$26,"nm   ",(G93/$G$94)))</f>
        <v>5.1347199243677614E-3</v>
      </c>
      <c r="R93" s="3"/>
      <c r="S93" s="3"/>
    </row>
    <row r="94" spans="1:19" ht="17.25" x14ac:dyDescent="0.35">
      <c r="A94" s="12" t="s">
        <v>165</v>
      </c>
      <c r="B94" s="15">
        <f>+SUM(B90:B93)</f>
        <v>8191540</v>
      </c>
      <c r="C94" s="15">
        <f t="shared" ref="C94:G94" si="50">+SUM(C90:C93)</f>
        <v>7615800</v>
      </c>
      <c r="D94" s="15">
        <f>+SUM(D90:D93)</f>
        <v>1643</v>
      </c>
      <c r="E94" s="15">
        <f t="shared" si="50"/>
        <v>0</v>
      </c>
      <c r="F94" s="15">
        <f t="shared" si="50"/>
        <v>8193183</v>
      </c>
      <c r="G94" s="15">
        <f t="shared" si="50"/>
        <v>7615800</v>
      </c>
      <c r="H94" s="3"/>
      <c r="I94" s="9">
        <f>IF(OR(B94&lt;=0,C94&lt;=0),"na   ",IF((B94/C94)-1&gt;$K$26,"nm   ",(B94/C94)-1))</f>
        <v>7.5598098689566351E-2</v>
      </c>
      <c r="J94" s="9" t="str">
        <f>IF(OR(D94&lt;=0,E94&lt;=0),"na   ",IF((D94/E94)-1&gt;$K$26,"nm   ",(D94/E94)-1))</f>
        <v xml:space="preserve">na   </v>
      </c>
      <c r="K94" s="9">
        <f>IF(OR(F94&lt;=0,G94&lt;=0),"na   ",IF((F94/G94)-1&gt;$K$26,"nm   ",(F94/G94)-1))</f>
        <v>7.5813834396911695E-2</v>
      </c>
      <c r="L94" s="14">
        <f>IF(OR(B94&lt;=0,$B$94&lt;=0),"na   ",IF((B94/$B$94)&gt;$K$26,"nm   ",(B94/$B$94)))</f>
        <v>1</v>
      </c>
      <c r="M94" s="14">
        <f>IF(OR(D94&lt;=0,$D$94&lt;=0),"na   ",IF((D94/$D$94)&gt;$K$26,"nm   ",(D94/$D$94)))</f>
        <v>1</v>
      </c>
      <c r="N94" s="14">
        <f>IF(OR(F94&lt;=0,$F$94&lt;=0),"na   ",IF((F94/$F$94)&gt;$K$26,"nm   ",(F94/$F$94)))</f>
        <v>1</v>
      </c>
      <c r="O94" s="14">
        <f>IF(OR(C94&lt;=0,$C$94&lt;=0),"na   ",IF((C94/$C$94)&gt;$K$26,"nm   ",(C94/$C$94)))</f>
        <v>1</v>
      </c>
      <c r="P94" s="14" t="str">
        <f>IF(OR(E94&lt;=0,$E$94&lt;=0),"na   ",IF((E94/$E$94)&gt;$K$26,"nm   ",(E94/$E$94)))</f>
        <v xml:space="preserve">na   </v>
      </c>
      <c r="Q94" s="14">
        <f>IF(OR(G94&lt;=0,$G$94&lt;=0),"na   ",IF((G94/$G$94)&gt;$K$26,"nm   ",(G94/$G$94)))</f>
        <v>1</v>
      </c>
      <c r="R94" s="3"/>
      <c r="S94" s="3"/>
    </row>
    <row r="95" spans="1:1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118" t="str">
        <f t="shared" ref="L95:Q95" si="51">IF(SUM(L90:L93)=L94,"OK",SUM(L90:L93)-L94)</f>
        <v>OK</v>
      </c>
      <c r="M95" s="118" t="str">
        <f t="shared" si="51"/>
        <v>OK</v>
      </c>
      <c r="N95" s="118" t="str">
        <f t="shared" si="51"/>
        <v>OK</v>
      </c>
      <c r="O95" s="118" t="str">
        <f t="shared" si="51"/>
        <v>OK</v>
      </c>
      <c r="P95" s="118" t="e">
        <f t="shared" si="51"/>
        <v>#VALUE!</v>
      </c>
      <c r="Q95" s="118" t="str">
        <f t="shared" si="51"/>
        <v>OK</v>
      </c>
      <c r="R95" s="3"/>
      <c r="S95" s="3"/>
    </row>
    <row r="96" spans="1:1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5">
      <c r="A97" s="3" t="s">
        <v>328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25">
      <c r="A98" s="25" t="s">
        <v>206</v>
      </c>
      <c r="B98" s="3"/>
      <c r="C98" s="3"/>
      <c r="D98" s="3"/>
      <c r="E98" s="3"/>
      <c r="F98" s="23" t="str">
        <f>IF(+B94+D94-F94=0,"Yes",+B94+D94-F94)</f>
        <v>Yes</v>
      </c>
      <c r="G98" s="23" t="str">
        <f>IF(+C94+E94-G94=0,"Yes",+C94+E94-G94)</f>
        <v>Yes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25" t="s">
        <v>327</v>
      </c>
      <c r="B99" s="8">
        <f>+'Long-Term Obligations'!M12</f>
        <v>366820</v>
      </c>
      <c r="C99" s="3"/>
      <c r="D99" s="8">
        <f>'Long-Term Obligations'!M15</f>
        <v>387</v>
      </c>
      <c r="E99" s="3"/>
      <c r="F99" s="127">
        <f>+B99+D99</f>
        <v>367207</v>
      </c>
      <c r="G99" s="2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5">
      <c r="A100" s="25" t="s">
        <v>205</v>
      </c>
      <c r="B100" s="17" t="str">
        <f>IF(B94-B99-B16=0,"Yes",B94-B16)</f>
        <v>Yes</v>
      </c>
      <c r="C100" s="7" t="str">
        <f t="shared" ref="C100:G100" si="52">IF(C94-C16=0,"Yes",C94-C16)</f>
        <v>Yes</v>
      </c>
      <c r="D100" s="17" t="str">
        <f>IF(D94-D99-D16=0,"Yes",D94-D16)</f>
        <v>Yes</v>
      </c>
      <c r="E100" s="7" t="str">
        <f t="shared" si="52"/>
        <v>Yes</v>
      </c>
      <c r="F100" s="17" t="str">
        <f>IF(F94-F99-F16=0,"Yes",F94-F16)</f>
        <v>Yes</v>
      </c>
      <c r="G100" s="7" t="str">
        <f t="shared" si="52"/>
        <v>Yes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</sheetData>
  <mergeCells count="47">
    <mergeCell ref="I7:K7"/>
    <mergeCell ref="A5:G5"/>
    <mergeCell ref="A6:G6"/>
    <mergeCell ref="B7:C7"/>
    <mergeCell ref="D7:E7"/>
    <mergeCell ref="F7:G7"/>
    <mergeCell ref="D33:E33"/>
    <mergeCell ref="F33:G33"/>
    <mergeCell ref="A69:G69"/>
    <mergeCell ref="I25:J28"/>
    <mergeCell ref="A31:G31"/>
    <mergeCell ref="L18:N18"/>
    <mergeCell ref="I1:K3"/>
    <mergeCell ref="B88:C88"/>
    <mergeCell ref="D88:E88"/>
    <mergeCell ref="F88:G88"/>
    <mergeCell ref="A70:G70"/>
    <mergeCell ref="B71:C71"/>
    <mergeCell ref="D71:E71"/>
    <mergeCell ref="F71:G71"/>
    <mergeCell ref="A86:G86"/>
    <mergeCell ref="A87:G87"/>
    <mergeCell ref="I88:K88"/>
    <mergeCell ref="I71:K71"/>
    <mergeCell ref="I33:K33"/>
    <mergeCell ref="A32:G32"/>
    <mergeCell ref="B33:C33"/>
    <mergeCell ref="L7:N7"/>
    <mergeCell ref="O7:Q7"/>
    <mergeCell ref="L9:N9"/>
    <mergeCell ref="O9:Q9"/>
    <mergeCell ref="L14:N14"/>
    <mergeCell ref="O14:Q14"/>
    <mergeCell ref="L19:N19"/>
    <mergeCell ref="O19:Q19"/>
    <mergeCell ref="L33:N33"/>
    <mergeCell ref="O33:Q33"/>
    <mergeCell ref="L35:N35"/>
    <mergeCell ref="O35:Q35"/>
    <mergeCell ref="L88:N88"/>
    <mergeCell ref="O88:Q88"/>
    <mergeCell ref="L46:N46"/>
    <mergeCell ref="O46:Q46"/>
    <mergeCell ref="L70:N70"/>
    <mergeCell ref="L71:N71"/>
    <mergeCell ref="O70:Q70"/>
    <mergeCell ref="O71:Q71"/>
  </mergeCells>
  <conditionalFormatting sqref="B25:G26 F27:G27 B62:G62 F63:G63 F64 D64 B64 B80:G80 F81:G81 F98:G98 B100:G100">
    <cfRule type="cellIs" dxfId="2" priority="1" operator="notEqual">
      <formula>"Yes"</formula>
    </cfRule>
  </conditionalFormatting>
  <pageMargins left="0.7" right="0.7" top="0.75" bottom="0.75" header="0.3" footer="0.3"/>
  <pageSetup orientation="portrait" r:id="rId1"/>
  <ignoredErrors>
    <ignoredError sqref="F17:G17 F54:F57 G57 C59 G51 E8" formula="1"/>
    <ignoredError sqref="B94:E9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P153"/>
  <sheetViews>
    <sheetView showGridLines="0" workbookViewId="0"/>
  </sheetViews>
  <sheetFormatPr defaultRowHeight="15.75" x14ac:dyDescent="0.25"/>
  <cols>
    <col min="2" max="2" width="1.625" customWidth="1"/>
    <col min="3" max="3" width="42.625" customWidth="1"/>
    <col min="4" max="4" width="14.625" customWidth="1"/>
    <col min="5" max="5" width="10.75" bestFit="1" customWidth="1"/>
    <col min="6" max="6" width="11.875" bestFit="1" customWidth="1"/>
    <col min="7" max="7" width="9.625" bestFit="1" customWidth="1"/>
  </cols>
  <sheetData>
    <row r="1" spans="1:16" x14ac:dyDescent="0.25">
      <c r="B1" s="160" t="str">
        <f>'For MD&amp;A'!A1</f>
        <v>Owl Charter, Inc.</v>
      </c>
      <c r="C1" s="16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/>
      <c r="B3" s="26" t="s">
        <v>36</v>
      </c>
      <c r="C3" s="2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7.25" x14ac:dyDescent="0.25">
      <c r="A5" s="3"/>
      <c r="B5" s="162" t="s">
        <v>0</v>
      </c>
      <c r="C5" s="162"/>
      <c r="D5" s="27" t="s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61.5" customHeight="1" x14ac:dyDescent="0.25">
      <c r="A6" s="3"/>
      <c r="B6" s="163" t="s">
        <v>2</v>
      </c>
      <c r="C6" s="163"/>
      <c r="D6" s="28">
        <f>'Capital Assets'!N81</f>
        <v>10222072</v>
      </c>
      <c r="E6" s="3"/>
      <c r="F6" s="29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7.25" x14ac:dyDescent="0.35">
      <c r="A7" s="3"/>
      <c r="B7" s="163" t="s">
        <v>3</v>
      </c>
      <c r="C7" s="163"/>
      <c r="D7" s="31">
        <f>-'Capital Assets'!N82</f>
        <v>-1165344</v>
      </c>
      <c r="E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8" customHeight="1" x14ac:dyDescent="0.35">
      <c r="A8" s="3"/>
      <c r="B8" s="114"/>
      <c r="C8" s="114" t="s">
        <v>307</v>
      </c>
      <c r="D8" s="31">
        <f>+D6+D7</f>
        <v>9056728</v>
      </c>
      <c r="E8" s="3"/>
      <c r="F8" s="29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61.5" customHeight="1" x14ac:dyDescent="0.25">
      <c r="A9" s="3"/>
      <c r="B9" s="163" t="s">
        <v>220</v>
      </c>
      <c r="C9" s="163"/>
      <c r="D9" s="29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3"/>
      <c r="B10" s="3"/>
      <c r="C10" s="30" t="s">
        <v>4</v>
      </c>
      <c r="D10" s="29">
        <f>-'Long-Term Obligations'!L12+'Long-Term Obligations'!L11</f>
        <v>-8153695</v>
      </c>
      <c r="E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7.25" customHeight="1" x14ac:dyDescent="0.35">
      <c r="A11" s="3"/>
      <c r="B11" s="3"/>
      <c r="C11" s="30" t="s">
        <v>5</v>
      </c>
      <c r="D11" s="31">
        <f>-'Long-Term Obligations'!L11</f>
        <v>-37845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8" customHeight="1" x14ac:dyDescent="0.35">
      <c r="A12" s="3"/>
      <c r="B12" s="3"/>
      <c r="C12" s="114" t="s">
        <v>308</v>
      </c>
      <c r="D12" s="11">
        <f>+D10+D11</f>
        <v>-8191540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8" customHeight="1" x14ac:dyDescent="0.35">
      <c r="A13" s="3"/>
      <c r="B13" s="164" t="s">
        <v>6</v>
      </c>
      <c r="C13" s="164"/>
      <c r="D13" s="32">
        <f>+D8+D12</f>
        <v>865188</v>
      </c>
      <c r="E13" s="3"/>
      <c r="F13" s="3"/>
      <c r="G13" s="33"/>
      <c r="H13" s="3"/>
      <c r="I13" s="3"/>
      <c r="J13" s="3"/>
      <c r="K13" s="3"/>
      <c r="L13" s="3"/>
      <c r="M13" s="3"/>
      <c r="N13" s="3"/>
      <c r="O13" s="3"/>
      <c r="P13" s="3"/>
    </row>
    <row r="14" spans="1:16" ht="18" customHeight="1" x14ac:dyDescent="0.35">
      <c r="A14" s="3"/>
      <c r="B14" s="34"/>
      <c r="C14" s="34"/>
      <c r="D14" s="32"/>
      <c r="E14" s="3"/>
      <c r="F14" s="3"/>
      <c r="G14" s="33"/>
      <c r="H14" s="3"/>
      <c r="I14" s="3"/>
      <c r="J14" s="3"/>
      <c r="K14" s="3"/>
      <c r="L14" s="3"/>
      <c r="M14" s="3"/>
      <c r="N14" s="3"/>
      <c r="O14" s="3"/>
      <c r="P14" s="3"/>
    </row>
    <row r="15" spans="1:16" ht="18" customHeight="1" x14ac:dyDescent="0.35">
      <c r="A15" s="3"/>
      <c r="B15" s="34"/>
      <c r="C15" s="34"/>
      <c r="D15" s="32"/>
      <c r="E15" s="3"/>
      <c r="F15" s="3"/>
      <c r="G15" s="33"/>
      <c r="H15" s="3"/>
      <c r="I15" s="3"/>
      <c r="J15" s="3"/>
      <c r="K15" s="3"/>
      <c r="L15" s="3"/>
      <c r="M15" s="3"/>
      <c r="N15" s="3"/>
      <c r="O15" s="3"/>
      <c r="P15" s="3"/>
    </row>
    <row r="16" spans="1:16" ht="18" customHeight="1" x14ac:dyDescent="0.25">
      <c r="A16" s="3"/>
      <c r="B16" s="165" t="s">
        <v>101</v>
      </c>
      <c r="C16" s="165"/>
      <c r="D16" s="35">
        <v>1612180</v>
      </c>
      <c r="E16" s="3"/>
      <c r="F16" s="3"/>
      <c r="G16" s="33"/>
      <c r="H16" s="3"/>
      <c r="I16" s="3"/>
      <c r="J16" s="3"/>
      <c r="K16" s="3"/>
      <c r="L16" s="3"/>
      <c r="M16" s="3"/>
      <c r="N16" s="3"/>
      <c r="O16" s="3"/>
      <c r="P16" s="3"/>
    </row>
    <row r="17" spans="1:16" ht="18" customHeight="1" x14ac:dyDescent="0.35">
      <c r="A17" s="3"/>
      <c r="B17" s="165" t="s">
        <v>100</v>
      </c>
      <c r="C17" s="165"/>
      <c r="D17" s="36">
        <v>746992</v>
      </c>
      <c r="E17" s="3"/>
      <c r="F17" s="3"/>
      <c r="G17" s="33"/>
      <c r="H17" s="3"/>
      <c r="I17" s="3"/>
      <c r="J17" s="3"/>
      <c r="K17" s="3"/>
      <c r="L17" s="3"/>
      <c r="M17" s="3"/>
      <c r="N17" s="3"/>
      <c r="O17" s="3"/>
      <c r="P17" s="3"/>
    </row>
    <row r="18" spans="1:16" ht="17.25" x14ac:dyDescent="0.35">
      <c r="A18" s="3"/>
      <c r="B18" s="34"/>
      <c r="C18" s="37" t="s">
        <v>219</v>
      </c>
      <c r="D18" s="38">
        <f>+D16-D17</f>
        <v>865188</v>
      </c>
      <c r="E18" s="3"/>
      <c r="F18" s="3"/>
      <c r="G18" s="33"/>
      <c r="H18" s="3"/>
      <c r="I18" s="3"/>
      <c r="J18" s="3"/>
      <c r="K18" s="3"/>
      <c r="L18" s="3"/>
      <c r="M18" s="3"/>
      <c r="N18" s="3"/>
      <c r="O18" s="3"/>
      <c r="P18" s="3"/>
    </row>
    <row r="19" spans="1:16" ht="18" customHeight="1" x14ac:dyDescent="0.25">
      <c r="A19" s="3"/>
      <c r="B19" s="34"/>
      <c r="C19" s="34"/>
      <c r="D19" s="39" t="str">
        <f>IF(D13-D18=0,"OK",D13-D18)</f>
        <v>OK</v>
      </c>
      <c r="E19" s="3"/>
      <c r="F19" s="3"/>
      <c r="G19" s="3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3"/>
      <c r="B22" s="26" t="s">
        <v>37</v>
      </c>
      <c r="C22" s="2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8" customHeight="1" x14ac:dyDescent="0.25">
      <c r="A24" s="3"/>
      <c r="B24" s="162" t="s">
        <v>0</v>
      </c>
      <c r="C24" s="162"/>
      <c r="D24" s="27" t="s">
        <v>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5.75" customHeight="1" x14ac:dyDescent="0.25">
      <c r="A25" s="3"/>
      <c r="B25" s="159" t="s">
        <v>7</v>
      </c>
      <c r="C25" s="159"/>
      <c r="D25" s="8">
        <f>+'Capital Assets'!H70</f>
        <v>650000</v>
      </c>
      <c r="E25" s="3"/>
      <c r="F25" s="10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9.25" customHeight="1" x14ac:dyDescent="0.25">
      <c r="A26" s="3"/>
      <c r="B26" s="166" t="s">
        <v>8</v>
      </c>
      <c r="C26" s="166"/>
      <c r="D26" s="10">
        <f>+'Capital Assets'!H71</f>
        <v>-101298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63.95" customHeight="1" x14ac:dyDescent="0.25">
      <c r="A27" s="3"/>
      <c r="B27" s="166" t="s">
        <v>9</v>
      </c>
      <c r="C27" s="166"/>
      <c r="D27" s="10">
        <f>-SUM('Long-Term Obligations'!J8:J10)</f>
        <v>-750000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63" customHeight="1" x14ac:dyDescent="0.25">
      <c r="A28" s="3"/>
      <c r="B28" s="166" t="s">
        <v>10</v>
      </c>
      <c r="C28" s="166"/>
      <c r="D28" s="10">
        <f>SUM('Long-Term Obligations'!K8:K10)</f>
        <v>173000</v>
      </c>
      <c r="E28" s="3"/>
      <c r="F28" s="10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5.75" customHeight="1" x14ac:dyDescent="0.25">
      <c r="A29" s="3"/>
      <c r="B29" s="159" t="s">
        <v>11</v>
      </c>
      <c r="C29" s="159"/>
      <c r="D29" s="10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5" x14ac:dyDescent="0.25">
      <c r="A30" s="3"/>
      <c r="B30" s="3"/>
      <c r="C30" s="115" t="s">
        <v>12</v>
      </c>
      <c r="D30" s="10">
        <v>176898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63" customHeight="1" x14ac:dyDescent="0.35">
      <c r="A31" s="3"/>
      <c r="B31" s="3"/>
      <c r="C31" s="116" t="s">
        <v>13</v>
      </c>
      <c r="D31" s="11">
        <f>('Long-Term Obligations'!K11-'Long-Term Obligations'!J11)</f>
        <v>1260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8" customHeight="1" x14ac:dyDescent="0.35">
      <c r="A32" s="3"/>
      <c r="B32" s="164" t="s">
        <v>6</v>
      </c>
      <c r="C32" s="164"/>
      <c r="D32" s="15">
        <f>SUM(D25:D31)</f>
        <v>149860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/>
      <c r="B35" s="161" t="s">
        <v>217</v>
      </c>
      <c r="C35" s="161"/>
      <c r="D35" s="35">
        <v>86779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7.25" x14ac:dyDescent="0.35">
      <c r="A36" s="3"/>
      <c r="B36" s="161" t="s">
        <v>216</v>
      </c>
      <c r="C36" s="161"/>
      <c r="D36" s="36">
        <v>-63081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7.25" x14ac:dyDescent="0.35">
      <c r="A37" s="3"/>
      <c r="B37" s="34"/>
      <c r="C37" s="37" t="s">
        <v>218</v>
      </c>
      <c r="D37" s="38">
        <f>+D35-D36</f>
        <v>149860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9" t="str">
        <f>IF(D32-D37=0,"OK",D32-D37)</f>
        <v>OK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</sheetData>
  <mergeCells count="17">
    <mergeCell ref="B28:C28"/>
    <mergeCell ref="B29:C29"/>
    <mergeCell ref="B1:C1"/>
    <mergeCell ref="B36:C36"/>
    <mergeCell ref="B35:C35"/>
    <mergeCell ref="B24:C24"/>
    <mergeCell ref="B5:C5"/>
    <mergeCell ref="B6:C6"/>
    <mergeCell ref="B7:C7"/>
    <mergeCell ref="B9:C9"/>
    <mergeCell ref="B13:C13"/>
    <mergeCell ref="B17:C17"/>
    <mergeCell ref="B16:C16"/>
    <mergeCell ref="B32:C32"/>
    <mergeCell ref="B25:C25"/>
    <mergeCell ref="B26:C26"/>
    <mergeCell ref="B27:C27"/>
  </mergeCells>
  <pageMargins left="0.7" right="0.7" top="0.75" bottom="0.75" header="0.3" footer="0.3"/>
  <pageSetup orientation="portrait" r:id="rId1"/>
  <ignoredErrors>
    <ignoredError sqref="D27:D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I413"/>
  <sheetViews>
    <sheetView showGridLines="0" zoomScale="90" zoomScaleNormal="90" workbookViewId="0"/>
  </sheetViews>
  <sheetFormatPr defaultRowHeight="15.75" x14ac:dyDescent="0.25"/>
  <cols>
    <col min="2" max="5" width="1.625" customWidth="1"/>
    <col min="6" max="6" width="34.625" customWidth="1"/>
    <col min="7" max="7" width="12.625" customWidth="1"/>
    <col min="8" max="9" width="11.625" customWidth="1"/>
    <col min="10" max="10" width="12.625" customWidth="1"/>
    <col min="12" max="12" width="29.625" customWidth="1"/>
    <col min="13" max="14" width="14.625" customWidth="1"/>
    <col min="15" max="15" width="12.625" customWidth="1"/>
    <col min="16" max="19" width="1.625" customWidth="1"/>
    <col min="20" max="20" width="34.625" customWidth="1"/>
    <col min="21" max="21" width="12.625" customWidth="1"/>
    <col min="22" max="23" width="11.625" customWidth="1"/>
    <col min="24" max="24" width="12.625" customWidth="1"/>
    <col min="25" max="26" width="10.125" bestFit="1" customWidth="1"/>
    <col min="29" max="32" width="1.625" customWidth="1"/>
    <col min="33" max="33" width="36.625" customWidth="1"/>
    <col min="34" max="34" width="12.625" customWidth="1"/>
    <col min="35" max="36" width="11.625" customWidth="1"/>
    <col min="37" max="37" width="12.625" customWidth="1"/>
  </cols>
  <sheetData>
    <row r="1" spans="1:87" ht="16.5" thickBot="1" x14ac:dyDescent="0.3">
      <c r="B1" s="160" t="str">
        <f>'For MD&amp;A'!A1</f>
        <v>Owl Charter, Inc.</v>
      </c>
      <c r="C1" s="160"/>
      <c r="D1" s="160"/>
      <c r="E1" s="160"/>
      <c r="F1" s="160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</row>
    <row r="2" spans="1:8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68" t="s">
        <v>250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spans="1:87" x14ac:dyDescent="0.25">
      <c r="A3" s="3"/>
      <c r="B3" s="3"/>
      <c r="C3" s="3"/>
      <c r="D3" s="3"/>
      <c r="E3" s="3"/>
      <c r="F3" s="26" t="s">
        <v>41</v>
      </c>
      <c r="G3" s="2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6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</row>
    <row r="4" spans="1:8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69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</row>
    <row r="5" spans="1:87" ht="18" thickBot="1" x14ac:dyDescent="0.3">
      <c r="A5" s="3"/>
      <c r="B5" s="3"/>
      <c r="C5" s="3"/>
      <c r="D5" s="3"/>
      <c r="E5" s="3"/>
      <c r="F5" s="40" t="s">
        <v>38</v>
      </c>
      <c r="G5" s="27" t="s">
        <v>39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70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</row>
    <row r="6" spans="1:87" x14ac:dyDescent="0.25">
      <c r="A6" s="3"/>
      <c r="B6" s="3"/>
      <c r="C6" s="3"/>
      <c r="D6" s="3"/>
      <c r="E6" s="3"/>
      <c r="F6" s="41" t="s">
        <v>16</v>
      </c>
      <c r="G6" s="42">
        <v>50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</row>
    <row r="7" spans="1:87" x14ac:dyDescent="0.25">
      <c r="A7" s="3"/>
      <c r="B7" s="3"/>
      <c r="C7" s="3"/>
      <c r="D7" s="3"/>
      <c r="E7" s="3"/>
      <c r="F7" s="41" t="s">
        <v>17</v>
      </c>
      <c r="G7" s="42">
        <v>10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</row>
    <row r="8" spans="1:87" x14ac:dyDescent="0.25">
      <c r="A8" s="3"/>
      <c r="B8" s="3"/>
      <c r="C8" s="3"/>
      <c r="D8" s="3"/>
      <c r="E8" s="3"/>
      <c r="F8" s="41" t="s">
        <v>31</v>
      </c>
      <c r="G8" s="42">
        <v>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</row>
    <row r="9" spans="1:87" x14ac:dyDescent="0.25">
      <c r="A9" s="3"/>
      <c r="B9" s="3"/>
      <c r="C9" s="3"/>
      <c r="D9" s="3"/>
      <c r="E9" s="3"/>
      <c r="F9" s="41" t="s">
        <v>18</v>
      </c>
      <c r="G9" s="42">
        <v>5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</row>
    <row r="10" spans="1:87" x14ac:dyDescent="0.25">
      <c r="A10" s="3"/>
      <c r="B10" s="3"/>
      <c r="C10" s="3"/>
      <c r="D10" s="3"/>
      <c r="E10" s="3"/>
      <c r="F10" s="41"/>
      <c r="G10" s="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</row>
    <row r="11" spans="1:8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</row>
    <row r="12" spans="1:87" x14ac:dyDescent="0.25">
      <c r="A12" s="3"/>
      <c r="B12" s="26" t="s">
        <v>35</v>
      </c>
      <c r="C12" s="26"/>
      <c r="D12" s="26"/>
      <c r="E12" s="26"/>
      <c r="F12" s="26"/>
      <c r="G12" s="3"/>
      <c r="H12" s="3" t="s">
        <v>222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</row>
    <row r="13" spans="1:8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</row>
    <row r="14" spans="1:87" x14ac:dyDescent="0.25">
      <c r="A14" s="3"/>
      <c r="B14" s="3"/>
      <c r="C14" s="3"/>
      <c r="D14" s="3"/>
      <c r="E14" s="3"/>
      <c r="F14" s="3"/>
      <c r="G14" s="7" t="s">
        <v>24</v>
      </c>
      <c r="H14" s="7"/>
      <c r="I14" s="7"/>
      <c r="J14" s="7" t="s">
        <v>28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7" t="s">
        <v>24</v>
      </c>
      <c r="V14" s="7"/>
      <c r="W14" s="7"/>
      <c r="X14" s="7" t="s">
        <v>28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</row>
    <row r="15" spans="1:87" ht="17.25" x14ac:dyDescent="0.35">
      <c r="A15" s="3"/>
      <c r="B15" s="3"/>
      <c r="C15" s="3"/>
      <c r="D15" s="3"/>
      <c r="E15" s="3"/>
      <c r="F15" s="3"/>
      <c r="G15" s="43" t="s">
        <v>25</v>
      </c>
      <c r="H15" s="43" t="s">
        <v>26</v>
      </c>
      <c r="I15" s="43" t="s">
        <v>27</v>
      </c>
      <c r="J15" s="43" t="s">
        <v>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43" t="s">
        <v>25</v>
      </c>
      <c r="V15" s="43" t="s">
        <v>26</v>
      </c>
      <c r="W15" s="43" t="s">
        <v>27</v>
      </c>
      <c r="X15" s="43" t="s">
        <v>25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</row>
    <row r="16" spans="1:87" x14ac:dyDescent="0.25">
      <c r="A16" s="3"/>
      <c r="B16" s="3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 t="s">
        <v>14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</row>
    <row r="17" spans="1:87" x14ac:dyDescent="0.25">
      <c r="A17" s="3"/>
      <c r="B17" s="3"/>
      <c r="C17" s="44" t="s">
        <v>241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 t="s">
        <v>21</v>
      </c>
      <c r="R17" s="3"/>
      <c r="S17" s="3"/>
      <c r="T17" s="3"/>
      <c r="U17" s="45"/>
      <c r="V17" s="3"/>
      <c r="W17" s="3"/>
      <c r="X17" s="45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</row>
    <row r="18" spans="1:87" ht="17.25" x14ac:dyDescent="0.35">
      <c r="A18" s="3"/>
      <c r="B18" s="3"/>
      <c r="C18" s="3" t="s">
        <v>21</v>
      </c>
      <c r="D18" s="3"/>
      <c r="E18" s="3"/>
      <c r="F18" s="3"/>
      <c r="G18" s="45"/>
      <c r="H18" s="45"/>
      <c r="I18" s="45"/>
      <c r="J18" s="45"/>
      <c r="K18" s="3"/>
      <c r="L18" s="3"/>
      <c r="M18" s="3"/>
      <c r="N18" s="3"/>
      <c r="O18" s="3"/>
      <c r="P18" s="3"/>
      <c r="Q18" s="3"/>
      <c r="R18" s="3" t="s">
        <v>15</v>
      </c>
      <c r="S18" s="3"/>
      <c r="T18" s="3"/>
      <c r="U18" s="46">
        <f>+G19+G35+G51</f>
        <v>2825813</v>
      </c>
      <c r="V18" s="46">
        <v>0</v>
      </c>
      <c r="W18" s="46">
        <v>0</v>
      </c>
      <c r="X18" s="46">
        <f>U18+V18-W18</f>
        <v>2825813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</row>
    <row r="19" spans="1:87" ht="17.25" x14ac:dyDescent="0.35">
      <c r="A19" s="3"/>
      <c r="B19" s="3"/>
      <c r="C19" s="3"/>
      <c r="D19" s="3" t="s">
        <v>15</v>
      </c>
      <c r="E19" s="3"/>
      <c r="F19" s="3"/>
      <c r="G19" s="46">
        <v>932518</v>
      </c>
      <c r="H19" s="46">
        <v>0</v>
      </c>
      <c r="I19" s="46">
        <v>0</v>
      </c>
      <c r="J19" s="46">
        <f>G19+H19-I19</f>
        <v>932518</v>
      </c>
      <c r="K19" s="3"/>
      <c r="L19" s="47"/>
      <c r="M19" s="3"/>
      <c r="N19" s="3"/>
      <c r="O19" s="3"/>
      <c r="P19" s="3"/>
      <c r="Q19" s="3" t="s">
        <v>20</v>
      </c>
      <c r="R19" s="3"/>
      <c r="S19" s="3"/>
      <c r="T19" s="3"/>
      <c r="U19" s="10"/>
      <c r="V19" s="3"/>
      <c r="W19" s="3"/>
      <c r="X19" s="10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</row>
    <row r="20" spans="1:87" x14ac:dyDescent="0.25">
      <c r="A20" s="3"/>
      <c r="B20" s="3"/>
      <c r="C20" s="3" t="s">
        <v>20</v>
      </c>
      <c r="D20" s="3"/>
      <c r="E20" s="3"/>
      <c r="F20" s="3"/>
      <c r="G20" s="10"/>
      <c r="H20" s="10"/>
      <c r="I20" s="10"/>
      <c r="J20" s="10"/>
      <c r="K20" s="3"/>
      <c r="L20" s="3"/>
      <c r="M20" s="3"/>
      <c r="N20" s="3"/>
      <c r="O20" s="3"/>
      <c r="P20" s="3"/>
      <c r="Q20" s="3"/>
      <c r="R20" s="3" t="s">
        <v>16</v>
      </c>
      <c r="S20" s="3"/>
      <c r="T20" s="3"/>
      <c r="U20" s="10">
        <f t="shared" ref="U20:V22" si="0">+G21+G37+G53</f>
        <v>5724881</v>
      </c>
      <c r="V20" s="10">
        <f t="shared" si="0"/>
        <v>540000</v>
      </c>
      <c r="W20" s="10">
        <v>0</v>
      </c>
      <c r="X20" s="10">
        <f t="shared" ref="X20:X22" si="1">U20+V20-W20</f>
        <v>6264881</v>
      </c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</row>
    <row r="21" spans="1:87" x14ac:dyDescent="0.25">
      <c r="A21" s="3"/>
      <c r="B21" s="3"/>
      <c r="C21" s="3"/>
      <c r="D21" s="3" t="s">
        <v>16</v>
      </c>
      <c r="E21" s="3"/>
      <c r="F21" s="3"/>
      <c r="G21" s="10">
        <v>2228212</v>
      </c>
      <c r="H21" s="10">
        <v>0</v>
      </c>
      <c r="I21" s="10">
        <v>0</v>
      </c>
      <c r="J21" s="10">
        <f>G21+H21-I21</f>
        <v>2228212</v>
      </c>
      <c r="K21" s="3"/>
      <c r="L21" s="3"/>
      <c r="M21" s="3"/>
      <c r="N21" s="3"/>
      <c r="O21" s="3"/>
      <c r="P21" s="3"/>
      <c r="Q21" s="3"/>
      <c r="R21" s="3" t="s">
        <v>17</v>
      </c>
      <c r="S21" s="3"/>
      <c r="T21" s="3"/>
      <c r="U21" s="10">
        <f t="shared" si="0"/>
        <v>691669</v>
      </c>
      <c r="V21" s="10">
        <f t="shared" si="0"/>
        <v>110000</v>
      </c>
      <c r="W21" s="10">
        <v>0</v>
      </c>
      <c r="X21" s="10">
        <f t="shared" si="1"/>
        <v>801669</v>
      </c>
      <c r="Y21" s="3"/>
      <c r="Z21" s="10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</row>
    <row r="22" spans="1:87" ht="17.25" x14ac:dyDescent="0.35">
      <c r="A22" s="3"/>
      <c r="B22" s="3"/>
      <c r="C22" s="3"/>
      <c r="D22" s="3" t="s">
        <v>17</v>
      </c>
      <c r="E22" s="3"/>
      <c r="F22" s="3"/>
      <c r="G22" s="10">
        <v>230251</v>
      </c>
      <c r="H22" s="10">
        <v>0</v>
      </c>
      <c r="I22" s="10">
        <v>0</v>
      </c>
      <c r="J22" s="10">
        <f>G22+H22-I22</f>
        <v>230251</v>
      </c>
      <c r="K22" s="3"/>
      <c r="L22" s="3"/>
      <c r="M22" s="3"/>
      <c r="N22" s="3"/>
      <c r="O22" s="3"/>
      <c r="P22" s="3"/>
      <c r="Q22" s="3"/>
      <c r="R22" s="3" t="s">
        <v>18</v>
      </c>
      <c r="S22" s="3"/>
      <c r="T22" s="3"/>
      <c r="U22" s="11">
        <f t="shared" si="0"/>
        <v>329709</v>
      </c>
      <c r="V22" s="11">
        <f t="shared" si="0"/>
        <v>0</v>
      </c>
      <c r="W22" s="11">
        <v>0</v>
      </c>
      <c r="X22" s="11">
        <f t="shared" si="1"/>
        <v>329709</v>
      </c>
      <c r="Y22" s="3"/>
      <c r="Z22" s="10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</row>
    <row r="23" spans="1:87" ht="17.25" x14ac:dyDescent="0.35">
      <c r="A23" s="3"/>
      <c r="B23" s="3"/>
      <c r="C23" s="3"/>
      <c r="D23" s="3" t="s">
        <v>18</v>
      </c>
      <c r="E23" s="3"/>
      <c r="F23" s="3"/>
      <c r="G23" s="11">
        <v>120958</v>
      </c>
      <c r="H23" s="11">
        <v>0</v>
      </c>
      <c r="I23" s="11">
        <v>0</v>
      </c>
      <c r="J23" s="11">
        <f>G23+H23-I23</f>
        <v>120958</v>
      </c>
      <c r="K23" s="3"/>
      <c r="L23" s="3"/>
      <c r="M23" s="3"/>
      <c r="N23" s="3"/>
      <c r="O23" s="3"/>
      <c r="P23" s="3"/>
      <c r="Q23" s="3"/>
      <c r="R23" s="3"/>
      <c r="S23" s="3"/>
      <c r="T23" s="3" t="s">
        <v>22</v>
      </c>
      <c r="U23" s="11">
        <f>SUM(U20:U22)</f>
        <v>6746259</v>
      </c>
      <c r="V23" s="11">
        <f>SUM(V20:V22)</f>
        <v>650000</v>
      </c>
      <c r="W23" s="11">
        <f t="shared" ref="W23" si="2">SUM(W20:W22)</f>
        <v>0</v>
      </c>
      <c r="X23" s="11">
        <f>SUM(X20:X22)</f>
        <v>7396259</v>
      </c>
      <c r="Y23" s="3"/>
      <c r="Z23" s="10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</row>
    <row r="24" spans="1:87" ht="17.25" x14ac:dyDescent="0.35">
      <c r="A24" s="3"/>
      <c r="B24" s="3"/>
      <c r="C24" s="3"/>
      <c r="D24" s="3"/>
      <c r="E24" s="3" t="s">
        <v>223</v>
      </c>
      <c r="F24" s="3"/>
      <c r="G24" s="11">
        <v>2579421</v>
      </c>
      <c r="H24" s="11">
        <f t="shared" ref="H24:I24" si="3">SUM(H21:H23)</f>
        <v>0</v>
      </c>
      <c r="I24" s="11">
        <f t="shared" si="3"/>
        <v>0</v>
      </c>
      <c r="J24" s="11">
        <f>SUM(J21:J23)</f>
        <v>2579421</v>
      </c>
      <c r="K24" s="3"/>
      <c r="L24" s="47" t="str">
        <f>IF(+G24+H24-I24-J24=0,"OK",+G24+H24-I24-J24)</f>
        <v>OK</v>
      </c>
      <c r="M24" s="3"/>
      <c r="N24" s="3"/>
      <c r="O24" s="3"/>
      <c r="P24" s="3"/>
      <c r="Q24" s="3" t="s">
        <v>19</v>
      </c>
      <c r="R24" s="3"/>
      <c r="S24" s="3"/>
      <c r="T24" s="3"/>
      <c r="U24" s="10"/>
      <c r="V24" s="3"/>
      <c r="W24" s="10"/>
      <c r="X24" s="10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</row>
    <row r="25" spans="1:87" x14ac:dyDescent="0.25">
      <c r="A25" s="3"/>
      <c r="B25" s="3"/>
      <c r="C25" s="3" t="s">
        <v>19</v>
      </c>
      <c r="D25" s="3"/>
      <c r="E25" s="3"/>
      <c r="F25" s="3"/>
      <c r="G25" s="10"/>
      <c r="H25" s="10"/>
      <c r="I25" s="10"/>
      <c r="J25" s="10"/>
      <c r="K25" s="3"/>
      <c r="L25" s="3"/>
      <c r="M25" s="3"/>
      <c r="N25" s="3"/>
      <c r="O25" s="3"/>
      <c r="P25" s="3"/>
      <c r="Q25" s="3"/>
      <c r="R25" s="3" t="s">
        <v>16</v>
      </c>
      <c r="S25" s="3"/>
      <c r="T25" s="3"/>
      <c r="U25" s="10">
        <f t="shared" ref="U25:V27" si="4">+G26+G42+G58</f>
        <v>656861</v>
      </c>
      <c r="V25" s="10">
        <f t="shared" si="4"/>
        <v>82775</v>
      </c>
      <c r="W25" s="10">
        <v>0</v>
      </c>
      <c r="X25" s="10">
        <f>U25+V25-W25</f>
        <v>739636</v>
      </c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</row>
    <row r="26" spans="1:87" x14ac:dyDescent="0.25">
      <c r="A26" s="3"/>
      <c r="B26" s="3"/>
      <c r="C26" s="3"/>
      <c r="D26" s="3" t="s">
        <v>16</v>
      </c>
      <c r="E26" s="3"/>
      <c r="F26" s="3"/>
      <c r="G26" s="10">
        <v>301264</v>
      </c>
      <c r="H26" s="10">
        <v>29645</v>
      </c>
      <c r="I26" s="10">
        <v>0</v>
      </c>
      <c r="J26" s="10">
        <f t="shared" ref="J26:J28" si="5">G26+H26-I26</f>
        <v>330909</v>
      </c>
      <c r="K26" s="3"/>
      <c r="L26" s="3"/>
      <c r="M26" s="3"/>
      <c r="N26" s="3"/>
      <c r="O26" s="3"/>
      <c r="P26" s="3"/>
      <c r="Q26" s="3"/>
      <c r="R26" s="3" t="s">
        <v>17</v>
      </c>
      <c r="S26" s="3"/>
      <c r="T26" s="3"/>
      <c r="U26" s="10">
        <f t="shared" si="4"/>
        <v>207601</v>
      </c>
      <c r="V26" s="10">
        <f t="shared" si="4"/>
        <v>14079</v>
      </c>
      <c r="W26" s="10">
        <v>0</v>
      </c>
      <c r="X26" s="10">
        <f>U26+V26-W26</f>
        <v>221680</v>
      </c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</row>
    <row r="27" spans="1:87" ht="17.25" x14ac:dyDescent="0.35">
      <c r="A27" s="3"/>
      <c r="B27" s="3"/>
      <c r="C27" s="3"/>
      <c r="D27" s="3" t="s">
        <v>17</v>
      </c>
      <c r="E27" s="3"/>
      <c r="F27" s="3"/>
      <c r="G27" s="10">
        <v>111267</v>
      </c>
      <c r="H27" s="10">
        <v>4760</v>
      </c>
      <c r="I27" s="10">
        <v>0</v>
      </c>
      <c r="J27" s="10">
        <f t="shared" si="5"/>
        <v>116027</v>
      </c>
      <c r="K27" s="3"/>
      <c r="L27" s="3"/>
      <c r="M27" s="3"/>
      <c r="N27" s="3"/>
      <c r="O27" s="3"/>
      <c r="P27" s="3"/>
      <c r="Q27" s="3"/>
      <c r="R27" s="3" t="s">
        <v>18</v>
      </c>
      <c r="S27" s="3"/>
      <c r="T27" s="3"/>
      <c r="U27" s="11">
        <f t="shared" si="4"/>
        <v>199584</v>
      </c>
      <c r="V27" s="11">
        <f t="shared" si="4"/>
        <v>4444</v>
      </c>
      <c r="W27" s="11">
        <v>0</v>
      </c>
      <c r="X27" s="11">
        <f>U27+V27-W27</f>
        <v>204028</v>
      </c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</row>
    <row r="28" spans="1:87" ht="17.25" x14ac:dyDescent="0.35">
      <c r="A28" s="3"/>
      <c r="B28" s="3"/>
      <c r="C28" s="3"/>
      <c r="D28" s="3" t="s">
        <v>18</v>
      </c>
      <c r="E28" s="3"/>
      <c r="F28" s="3"/>
      <c r="G28" s="11">
        <v>74422</v>
      </c>
      <c r="H28" s="11">
        <v>1861</v>
      </c>
      <c r="I28" s="11">
        <v>0</v>
      </c>
      <c r="J28" s="11">
        <f t="shared" si="5"/>
        <v>76283</v>
      </c>
      <c r="K28" s="3"/>
      <c r="L28" s="3"/>
      <c r="M28" s="3"/>
      <c r="N28" s="3"/>
      <c r="O28" s="3"/>
      <c r="P28" s="3"/>
      <c r="Q28" s="3"/>
      <c r="R28" s="3"/>
      <c r="S28" s="3"/>
      <c r="T28" s="3" t="s">
        <v>23</v>
      </c>
      <c r="U28" s="11">
        <f>SUM(U25:U27)</f>
        <v>1064046</v>
      </c>
      <c r="V28" s="11">
        <f>SUM(V25:V27)</f>
        <v>101298</v>
      </c>
      <c r="W28" s="11">
        <f t="shared" ref="W28" si="6">SUM(W25:W27)</f>
        <v>0</v>
      </c>
      <c r="X28" s="11">
        <f>SUM(X25:X27)</f>
        <v>1165344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</row>
    <row r="29" spans="1:87" ht="17.25" x14ac:dyDescent="0.35">
      <c r="A29" s="3"/>
      <c r="B29" s="3"/>
      <c r="C29" s="3"/>
      <c r="D29" s="3"/>
      <c r="E29" s="3" t="s">
        <v>23</v>
      </c>
      <c r="F29" s="3"/>
      <c r="G29" s="11">
        <v>486953</v>
      </c>
      <c r="H29" s="11">
        <v>36266</v>
      </c>
      <c r="I29" s="11">
        <f t="shared" ref="I29" si="7">SUM(I26:I28)</f>
        <v>0</v>
      </c>
      <c r="J29" s="11">
        <f t="shared" ref="J29" si="8">SUM(J26:J28)</f>
        <v>523219</v>
      </c>
      <c r="K29" s="3"/>
      <c r="L29" s="47" t="str">
        <f>IF(+G29+H29-I29-J29=0,"OK",+G29+H29-I29-J29)</f>
        <v>OK</v>
      </c>
      <c r="M29" s="3"/>
      <c r="N29" s="3"/>
      <c r="O29" s="3"/>
      <c r="P29" s="3"/>
      <c r="Q29" s="3" t="s">
        <v>29</v>
      </c>
      <c r="R29" s="3"/>
      <c r="S29" s="3"/>
      <c r="T29" s="3"/>
      <c r="U29" s="46">
        <f>U23-U28</f>
        <v>5682213</v>
      </c>
      <c r="V29" s="3"/>
      <c r="W29" s="3"/>
      <c r="X29" s="46">
        <f>X23-X28</f>
        <v>6230915</v>
      </c>
      <c r="Y29" s="10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</row>
    <row r="30" spans="1:87" ht="17.25" x14ac:dyDescent="0.35">
      <c r="A30" s="3"/>
      <c r="B30" s="3"/>
      <c r="C30" s="3" t="s">
        <v>227</v>
      </c>
      <c r="D30" s="3"/>
      <c r="E30" s="3"/>
      <c r="F30" s="3"/>
      <c r="G30" s="11">
        <v>2092468</v>
      </c>
      <c r="H30" s="11"/>
      <c r="I30" s="11"/>
      <c r="J30" s="11">
        <f>J24-J29</f>
        <v>2056202</v>
      </c>
      <c r="K30" s="3"/>
      <c r="L30" s="47"/>
      <c r="M30" s="3"/>
      <c r="N30" s="3"/>
      <c r="O30" s="3"/>
      <c r="P30" s="3"/>
      <c r="Q30" s="3"/>
      <c r="R30" s="3"/>
      <c r="S30" s="3"/>
      <c r="T30" s="3"/>
      <c r="U30" s="46"/>
      <c r="V30" s="3"/>
      <c r="W30" s="3"/>
      <c r="X30" s="46"/>
      <c r="Y30" s="10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</row>
    <row r="31" spans="1:87" ht="17.25" x14ac:dyDescent="0.35">
      <c r="A31" s="3"/>
      <c r="B31" s="3"/>
      <c r="D31" s="3" t="s">
        <v>228</v>
      </c>
      <c r="G31" s="15">
        <f>G19+G30</f>
        <v>3024986</v>
      </c>
      <c r="H31" s="11"/>
      <c r="I31" s="11"/>
      <c r="J31" s="15">
        <f>J19+J30</f>
        <v>2988720</v>
      </c>
      <c r="K31" s="3"/>
      <c r="L31" s="3"/>
      <c r="M31" s="3"/>
      <c r="N31" s="3"/>
      <c r="O31" s="3"/>
      <c r="P31" s="3"/>
      <c r="Q31" s="3" t="s">
        <v>107</v>
      </c>
      <c r="R31" s="3"/>
      <c r="S31" s="3"/>
      <c r="T31" s="3"/>
      <c r="U31" s="15">
        <f>+U18+U29</f>
        <v>8508026</v>
      </c>
      <c r="V31" s="10"/>
      <c r="W31" s="10"/>
      <c r="X31" s="15">
        <f>+X18+X29</f>
        <v>9056728</v>
      </c>
      <c r="Y31" s="10"/>
      <c r="Z31" s="10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</row>
    <row r="32" spans="1:87" ht="5.0999999999999996" customHeight="1" x14ac:dyDescent="0.35">
      <c r="A32" s="3"/>
      <c r="B32" s="3"/>
      <c r="C32" s="3"/>
      <c r="D32" s="3"/>
      <c r="E32" s="3"/>
      <c r="F32" s="3"/>
      <c r="G32" s="15"/>
      <c r="H32" s="10"/>
      <c r="I32" s="10"/>
      <c r="J32" s="15"/>
      <c r="K32" s="3"/>
      <c r="L32" s="3"/>
      <c r="M32" s="15"/>
      <c r="N32" s="1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</row>
    <row r="33" spans="1:87" x14ac:dyDescent="0.25">
      <c r="A33" s="3"/>
      <c r="B33" s="3"/>
      <c r="C33" s="44" t="s">
        <v>242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 t="s">
        <v>30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</row>
    <row r="34" spans="1:87" x14ac:dyDescent="0.25">
      <c r="A34" s="3"/>
      <c r="B34" s="3"/>
      <c r="C34" s="3" t="s">
        <v>21</v>
      </c>
      <c r="D34" s="3"/>
      <c r="E34" s="3"/>
      <c r="F34" s="3"/>
      <c r="G34" s="45"/>
      <c r="H34" s="45"/>
      <c r="I34" s="45"/>
      <c r="J34" s="45"/>
      <c r="K34" s="3"/>
      <c r="L34" s="3"/>
      <c r="M34" s="45"/>
      <c r="N34" s="45"/>
      <c r="O34" s="3"/>
      <c r="P34" s="3"/>
      <c r="Q34" s="3" t="s">
        <v>90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</row>
    <row r="35" spans="1:87" ht="17.25" x14ac:dyDescent="0.35">
      <c r="A35" s="3"/>
      <c r="B35" s="3"/>
      <c r="C35" s="3"/>
      <c r="D35" s="3" t="s">
        <v>15</v>
      </c>
      <c r="E35" s="3"/>
      <c r="F35" s="3"/>
      <c r="G35" s="46">
        <v>1102067</v>
      </c>
      <c r="H35" s="46">
        <v>0</v>
      </c>
      <c r="I35" s="46">
        <v>0</v>
      </c>
      <c r="J35" s="46">
        <f>G35+H35-I35</f>
        <v>1102067</v>
      </c>
      <c r="K35" s="3"/>
      <c r="L35" s="3"/>
      <c r="M35" s="3"/>
      <c r="N35" s="3"/>
      <c r="O35" s="3"/>
      <c r="P35" s="3"/>
      <c r="Q35" s="3" t="s">
        <v>20</v>
      </c>
      <c r="R35" s="3"/>
      <c r="S35" s="3"/>
      <c r="T35" s="3"/>
      <c r="U35" s="3"/>
      <c r="V35" s="3"/>
      <c r="W35" s="45"/>
      <c r="X35" s="45"/>
      <c r="Y35" s="45"/>
      <c r="Z35" s="10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</row>
    <row r="36" spans="1:87" x14ac:dyDescent="0.25">
      <c r="A36" s="3"/>
      <c r="B36" s="3"/>
      <c r="C36" s="3" t="s">
        <v>20</v>
      </c>
      <c r="D36" s="3"/>
      <c r="E36" s="3"/>
      <c r="F36" s="3"/>
      <c r="G36" s="10"/>
      <c r="H36" s="10"/>
      <c r="I36" s="10"/>
      <c r="J36" s="10"/>
      <c r="K36" s="3"/>
      <c r="L36" s="3"/>
      <c r="M36" s="3"/>
      <c r="N36" s="3"/>
      <c r="O36" s="3"/>
      <c r="P36" s="3"/>
      <c r="Q36" s="3"/>
      <c r="R36" s="3" t="s">
        <v>17</v>
      </c>
      <c r="S36" s="3"/>
      <c r="T36" s="3"/>
      <c r="U36" s="8">
        <f t="shared" ref="U36:V38" si="9">+G114+G140+G167</f>
        <v>12070</v>
      </c>
      <c r="V36" s="8">
        <f t="shared" si="9"/>
        <v>8287</v>
      </c>
      <c r="W36" s="8">
        <v>0</v>
      </c>
      <c r="X36" s="8">
        <f>U36+V36-W36</f>
        <v>20357</v>
      </c>
      <c r="Y36" s="3"/>
      <c r="Z36" s="10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</row>
    <row r="37" spans="1:87" x14ac:dyDescent="0.25">
      <c r="A37" s="3"/>
      <c r="B37" s="3"/>
      <c r="C37" s="3"/>
      <c r="D37" s="3" t="s">
        <v>16</v>
      </c>
      <c r="E37" s="3"/>
      <c r="F37" s="3"/>
      <c r="G37" s="10">
        <v>2537887</v>
      </c>
      <c r="H37" s="10">
        <v>0</v>
      </c>
      <c r="I37" s="10">
        <v>0</v>
      </c>
      <c r="J37" s="10">
        <f>G37+H37-I37</f>
        <v>2537887</v>
      </c>
      <c r="K37" s="3"/>
      <c r="L37" s="3"/>
      <c r="M37" s="3"/>
      <c r="N37" s="3"/>
      <c r="O37" s="3"/>
      <c r="P37" s="3"/>
      <c r="Q37" s="3"/>
      <c r="R37" s="3" t="s">
        <v>31</v>
      </c>
      <c r="S37" s="3"/>
      <c r="T37" s="3"/>
      <c r="U37" s="10">
        <f t="shared" si="9"/>
        <v>4000</v>
      </c>
      <c r="V37" s="10">
        <f t="shared" si="9"/>
        <v>0</v>
      </c>
      <c r="W37" s="10">
        <v>0</v>
      </c>
      <c r="X37" s="10">
        <f>U37+V37-W37</f>
        <v>4000</v>
      </c>
      <c r="Y37" s="3"/>
      <c r="Z37" s="10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</row>
    <row r="38" spans="1:87" ht="17.25" x14ac:dyDescent="0.35">
      <c r="A38" s="3"/>
      <c r="B38" s="3"/>
      <c r="C38" s="3"/>
      <c r="D38" s="3" t="s">
        <v>17</v>
      </c>
      <c r="E38" s="3"/>
      <c r="F38" s="3"/>
      <c r="G38" s="10">
        <v>235751</v>
      </c>
      <c r="H38" s="10">
        <v>0</v>
      </c>
      <c r="I38" s="10">
        <v>0</v>
      </c>
      <c r="J38" s="10">
        <f>G38+H38-I38</f>
        <v>235751</v>
      </c>
      <c r="K38" s="3"/>
      <c r="L38" s="3"/>
      <c r="M38" s="3"/>
      <c r="N38" s="3"/>
      <c r="O38" s="3"/>
      <c r="P38" s="3"/>
      <c r="Q38" s="3"/>
      <c r="R38" s="3" t="s">
        <v>18</v>
      </c>
      <c r="S38" s="3"/>
      <c r="T38" s="3"/>
      <c r="U38" s="11">
        <f t="shared" si="9"/>
        <v>10000</v>
      </c>
      <c r="V38" s="11">
        <f t="shared" si="9"/>
        <v>0</v>
      </c>
      <c r="W38" s="11">
        <v>0</v>
      </c>
      <c r="X38" s="11">
        <f>U38+V38-W38</f>
        <v>10000</v>
      </c>
      <c r="Y38" s="3"/>
      <c r="Z38" s="10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</row>
    <row r="39" spans="1:87" ht="17.25" x14ac:dyDescent="0.35">
      <c r="A39" s="3"/>
      <c r="B39" s="3"/>
      <c r="C39" s="3"/>
      <c r="D39" s="3" t="s">
        <v>18</v>
      </c>
      <c r="E39" s="3"/>
      <c r="F39" s="3"/>
      <c r="G39" s="11">
        <v>133860</v>
      </c>
      <c r="H39" s="11">
        <v>0</v>
      </c>
      <c r="I39" s="11">
        <v>0</v>
      </c>
      <c r="J39" s="11">
        <f>G39+H39-I39</f>
        <v>133860</v>
      </c>
      <c r="K39" s="3"/>
      <c r="L39" s="3"/>
      <c r="M39" s="3"/>
      <c r="N39" s="3"/>
      <c r="O39" s="3"/>
      <c r="P39" s="3"/>
      <c r="Q39" s="3"/>
      <c r="R39" s="3"/>
      <c r="S39" s="3"/>
      <c r="T39" s="3" t="s">
        <v>22</v>
      </c>
      <c r="U39" s="11">
        <f>SUM(U36:U38)</f>
        <v>26070</v>
      </c>
      <c r="V39" s="11">
        <f>SUM(V36:V38)</f>
        <v>8287</v>
      </c>
      <c r="W39" s="11">
        <f t="shared" ref="W39" si="10">SUM(W36:W38)</f>
        <v>0</v>
      </c>
      <c r="X39" s="11">
        <f>SUM(X36:X38)</f>
        <v>34357</v>
      </c>
      <c r="Y39" s="3"/>
      <c r="Z39" s="10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</row>
    <row r="40" spans="1:87" ht="17.25" x14ac:dyDescent="0.35">
      <c r="A40" s="3"/>
      <c r="B40" s="3"/>
      <c r="C40" s="3"/>
      <c r="D40" s="3"/>
      <c r="E40" s="3" t="s">
        <v>223</v>
      </c>
      <c r="F40" s="3"/>
      <c r="G40" s="11">
        <v>2907498</v>
      </c>
      <c r="H40" s="11">
        <v>0</v>
      </c>
      <c r="I40" s="11">
        <f t="shared" ref="I40:J40" si="11">SUM(I37:I39)</f>
        <v>0</v>
      </c>
      <c r="J40" s="11">
        <f t="shared" si="11"/>
        <v>2907498</v>
      </c>
      <c r="K40" s="3"/>
      <c r="L40" s="47" t="str">
        <f>IF(+G40+H40-I40-J40=0,"OK",+G40+H40-I40-J40)</f>
        <v>OK</v>
      </c>
      <c r="M40" s="3"/>
      <c r="N40" s="3"/>
      <c r="O40" s="3"/>
      <c r="P40" s="3"/>
      <c r="Q40" s="3" t="s">
        <v>19</v>
      </c>
      <c r="R40" s="3"/>
      <c r="S40" s="3"/>
      <c r="T40" s="3"/>
      <c r="U40" s="10"/>
      <c r="V40" s="10"/>
      <c r="W40" s="10"/>
      <c r="X40" s="10"/>
      <c r="Y40" s="3"/>
      <c r="Z40" s="10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</row>
    <row r="41" spans="1:87" x14ac:dyDescent="0.25">
      <c r="A41" s="3"/>
      <c r="B41" s="3"/>
      <c r="C41" s="3" t="s">
        <v>19</v>
      </c>
      <c r="D41" s="3"/>
      <c r="E41" s="3"/>
      <c r="F41" s="3"/>
      <c r="G41" s="10"/>
      <c r="H41" s="10"/>
      <c r="I41" s="10"/>
      <c r="J41" s="10"/>
      <c r="K41" s="3"/>
      <c r="L41" s="3"/>
      <c r="M41" s="3"/>
      <c r="N41" s="3"/>
      <c r="O41" s="3"/>
      <c r="P41" s="3"/>
      <c r="Q41" s="3"/>
      <c r="R41" s="3" t="s">
        <v>17</v>
      </c>
      <c r="S41" s="3"/>
      <c r="T41" s="3"/>
      <c r="U41" s="8">
        <f t="shared" ref="U41:V43" si="12">+G119+G145+G172</f>
        <v>361</v>
      </c>
      <c r="V41" s="8">
        <f t="shared" si="12"/>
        <v>451</v>
      </c>
      <c r="W41" s="10">
        <v>0</v>
      </c>
      <c r="X41" s="10">
        <f t="shared" ref="X41:X43" si="13">U41+V41-W41</f>
        <v>812</v>
      </c>
      <c r="Y41" s="3"/>
      <c r="Z41" s="10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</row>
    <row r="42" spans="1:87" x14ac:dyDescent="0.25">
      <c r="A42" s="3"/>
      <c r="B42" s="3"/>
      <c r="C42" s="3"/>
      <c r="D42" s="3" t="s">
        <v>16</v>
      </c>
      <c r="E42" s="3"/>
      <c r="F42" s="3"/>
      <c r="G42" s="10">
        <v>269676</v>
      </c>
      <c r="H42" s="10">
        <v>41240</v>
      </c>
      <c r="I42" s="10">
        <v>0</v>
      </c>
      <c r="J42" s="10">
        <f t="shared" ref="J42:J44" si="14">G42+H42-I42</f>
        <v>310916</v>
      </c>
      <c r="K42" s="3"/>
      <c r="L42" s="3"/>
      <c r="M42" s="3"/>
      <c r="N42" s="3"/>
      <c r="O42" s="3"/>
      <c r="P42" s="3"/>
      <c r="Q42" s="3"/>
      <c r="R42" s="3" t="s">
        <v>31</v>
      </c>
      <c r="S42" s="3"/>
      <c r="T42" s="3"/>
      <c r="U42" s="10">
        <f t="shared" si="12"/>
        <v>251</v>
      </c>
      <c r="V42" s="10">
        <f t="shared" si="12"/>
        <v>251</v>
      </c>
      <c r="W42" s="10">
        <v>0</v>
      </c>
      <c r="X42" s="10">
        <f t="shared" si="13"/>
        <v>502</v>
      </c>
      <c r="Y42" s="3"/>
      <c r="Z42" s="10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</row>
    <row r="43" spans="1:87" ht="17.25" x14ac:dyDescent="0.35">
      <c r="A43" s="3"/>
      <c r="B43" s="3"/>
      <c r="C43" s="3"/>
      <c r="D43" s="3" t="s">
        <v>17</v>
      </c>
      <c r="E43" s="3"/>
      <c r="F43" s="3"/>
      <c r="G43" s="10">
        <v>85329</v>
      </c>
      <c r="H43" s="10">
        <v>6017</v>
      </c>
      <c r="I43" s="10">
        <v>0</v>
      </c>
      <c r="J43" s="10">
        <f t="shared" si="14"/>
        <v>91346</v>
      </c>
      <c r="K43" s="3"/>
      <c r="L43" s="3"/>
      <c r="M43" s="3"/>
      <c r="N43" s="3"/>
      <c r="O43" s="3"/>
      <c r="P43" s="3"/>
      <c r="Q43" s="3"/>
      <c r="R43" s="3" t="s">
        <v>18</v>
      </c>
      <c r="S43" s="3"/>
      <c r="T43" s="3"/>
      <c r="U43" s="11">
        <f t="shared" si="12"/>
        <v>251</v>
      </c>
      <c r="V43" s="11">
        <f t="shared" si="12"/>
        <v>251</v>
      </c>
      <c r="W43" s="11">
        <v>0</v>
      </c>
      <c r="X43" s="11">
        <f t="shared" si="13"/>
        <v>502</v>
      </c>
      <c r="Y43" s="3"/>
      <c r="Z43" s="10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</row>
    <row r="44" spans="1:87" ht="17.25" x14ac:dyDescent="0.35">
      <c r="A44" s="3"/>
      <c r="B44" s="3"/>
      <c r="C44" s="3"/>
      <c r="D44" s="3" t="s">
        <v>18</v>
      </c>
      <c r="E44" s="3"/>
      <c r="F44" s="3"/>
      <c r="G44" s="11">
        <v>73934</v>
      </c>
      <c r="H44" s="11">
        <v>1245</v>
      </c>
      <c r="I44" s="11">
        <v>0</v>
      </c>
      <c r="J44" s="11">
        <f t="shared" si="14"/>
        <v>75179</v>
      </c>
      <c r="K44" s="3"/>
      <c r="L44" s="3"/>
      <c r="M44" s="3"/>
      <c r="N44" s="3"/>
      <c r="O44" s="3"/>
      <c r="P44" s="3"/>
      <c r="Q44" s="3"/>
      <c r="R44" s="3"/>
      <c r="S44" s="3"/>
      <c r="T44" s="3" t="s">
        <v>23</v>
      </c>
      <c r="U44" s="11">
        <f>SUM(U41:U43)</f>
        <v>863</v>
      </c>
      <c r="V44" s="11">
        <f>SUM(V41:V43)</f>
        <v>953</v>
      </c>
      <c r="W44" s="11">
        <f t="shared" ref="W44:X44" si="15">SUM(W41:W43)</f>
        <v>0</v>
      </c>
      <c r="X44" s="11">
        <f t="shared" si="15"/>
        <v>1816</v>
      </c>
      <c r="Y44" s="3"/>
      <c r="Z44" s="10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</row>
    <row r="45" spans="1:87" ht="17.25" x14ac:dyDescent="0.35">
      <c r="A45" s="3"/>
      <c r="B45" s="3"/>
      <c r="C45" s="3"/>
      <c r="D45" s="3"/>
      <c r="E45" s="3" t="s">
        <v>23</v>
      </c>
      <c r="F45" s="3"/>
      <c r="G45" s="11">
        <v>428939</v>
      </c>
      <c r="H45" s="11">
        <v>48502</v>
      </c>
      <c r="I45" s="11">
        <f t="shared" ref="I45:J45" si="16">SUM(I42:I44)</f>
        <v>0</v>
      </c>
      <c r="J45" s="11">
        <f t="shared" si="16"/>
        <v>477441</v>
      </c>
      <c r="K45" s="3"/>
      <c r="L45" s="47" t="str">
        <f>IF(+G45+H45-I45-J45=0,"OK",+G45+H45-I45-J45)</f>
        <v>OK</v>
      </c>
      <c r="M45" s="3"/>
      <c r="N45" s="3"/>
      <c r="O45" s="3"/>
      <c r="P45" s="3"/>
      <c r="Q45" s="3"/>
      <c r="R45" s="3" t="s">
        <v>108</v>
      </c>
      <c r="S45" s="3"/>
      <c r="T45" s="3"/>
      <c r="U45" s="46">
        <f>U39-U44</f>
        <v>25207</v>
      </c>
      <c r="V45" s="46">
        <f>V39-V44</f>
        <v>7334</v>
      </c>
      <c r="W45" s="11"/>
      <c r="X45" s="46">
        <f>X39-X44</f>
        <v>32541</v>
      </c>
      <c r="Y45" s="3"/>
      <c r="Z45" s="10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</row>
    <row r="46" spans="1:87" ht="17.25" x14ac:dyDescent="0.35">
      <c r="A46" s="3"/>
      <c r="B46" s="3"/>
      <c r="C46" s="3" t="s">
        <v>232</v>
      </c>
      <c r="D46" s="3"/>
      <c r="E46" s="3"/>
      <c r="F46" s="3"/>
      <c r="G46" s="46">
        <v>2478559</v>
      </c>
      <c r="H46" s="11"/>
      <c r="I46" s="11"/>
      <c r="J46" s="46">
        <f>J40-J45</f>
        <v>2430057</v>
      </c>
      <c r="K46" s="3"/>
      <c r="L46" s="3"/>
      <c r="M46" s="3"/>
      <c r="N46" s="3"/>
      <c r="O46" s="3"/>
      <c r="P46" s="3"/>
      <c r="Q46" s="3" t="s">
        <v>323</v>
      </c>
      <c r="R46" s="3"/>
      <c r="S46" s="3"/>
      <c r="T46" s="3"/>
      <c r="U46" s="10"/>
      <c r="V46" s="10"/>
      <c r="W46" s="10"/>
      <c r="X46" s="10"/>
      <c r="Y46" s="3"/>
      <c r="Z46" s="11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</row>
    <row r="47" spans="1:87" ht="17.25" x14ac:dyDescent="0.35">
      <c r="A47" s="3"/>
      <c r="B47" s="3"/>
      <c r="C47" s="3"/>
      <c r="D47" s="3" t="s">
        <v>233</v>
      </c>
      <c r="G47" s="15">
        <f>G35+G46</f>
        <v>3580626</v>
      </c>
      <c r="H47" s="11"/>
      <c r="I47" s="11"/>
      <c r="J47" s="15">
        <f>J35+J46</f>
        <v>3532124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10"/>
      <c r="V47" s="10"/>
      <c r="W47" s="10"/>
      <c r="X47" s="10"/>
      <c r="Y47" s="3"/>
      <c r="Z47" s="11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</row>
    <row r="48" spans="1:87" ht="5.0999999999999996" customHeight="1" x14ac:dyDescent="0.35">
      <c r="A48" s="3"/>
      <c r="B48" s="3"/>
      <c r="C48" s="3"/>
      <c r="D48" s="3"/>
      <c r="E48" s="3"/>
      <c r="F48" s="3"/>
      <c r="G48" s="15"/>
      <c r="H48" s="10"/>
      <c r="I48" s="10"/>
      <c r="J48" s="15"/>
      <c r="K48" s="3"/>
      <c r="L48" s="3"/>
      <c r="M48" s="3"/>
      <c r="N48" s="3"/>
      <c r="O48" s="3"/>
      <c r="P48" s="3"/>
      <c r="Q48" s="3"/>
      <c r="R48" s="3"/>
      <c r="S48" s="3"/>
      <c r="T48" s="3"/>
      <c r="U48" s="10"/>
      <c r="V48" s="10"/>
      <c r="W48" s="10"/>
      <c r="X48" s="10"/>
      <c r="Y48" s="3"/>
      <c r="Z48" s="10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</row>
    <row r="49" spans="1:87" x14ac:dyDescent="0.25">
      <c r="A49" s="3"/>
      <c r="B49" s="3"/>
      <c r="C49" s="44" t="s">
        <v>243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 t="s">
        <v>20</v>
      </c>
      <c r="R49" s="3"/>
      <c r="S49" s="3"/>
      <c r="T49" s="3"/>
      <c r="U49" s="10"/>
      <c r="V49" s="10"/>
      <c r="W49" s="10"/>
      <c r="X49" s="10"/>
      <c r="Y49" s="3"/>
      <c r="Z49" s="10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</row>
    <row r="50" spans="1:87" x14ac:dyDescent="0.25">
      <c r="A50" s="3"/>
      <c r="B50" s="3"/>
      <c r="C50" s="3" t="s">
        <v>21</v>
      </c>
      <c r="D50" s="3"/>
      <c r="E50" s="3"/>
      <c r="F50" s="3"/>
      <c r="G50" s="45"/>
      <c r="H50" s="45"/>
      <c r="I50" s="45"/>
      <c r="J50" s="45"/>
      <c r="K50" s="3"/>
      <c r="L50" s="3"/>
      <c r="M50" s="3"/>
      <c r="N50" s="3"/>
      <c r="O50" s="3"/>
      <c r="P50" s="3"/>
      <c r="Q50" s="3"/>
      <c r="R50" s="3" t="s">
        <v>17</v>
      </c>
      <c r="S50" s="3"/>
      <c r="T50" s="3"/>
      <c r="U50" s="8">
        <f>+G127+G154+G180</f>
        <v>373</v>
      </c>
      <c r="V50" s="8">
        <f>+H127+H154+H180</f>
        <v>827</v>
      </c>
      <c r="W50" s="10">
        <v>0</v>
      </c>
      <c r="X50" s="8">
        <f>U50+V50-W50</f>
        <v>1200</v>
      </c>
      <c r="Y50" s="3"/>
      <c r="Z50" s="10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</row>
    <row r="51" spans="1:87" ht="17.25" x14ac:dyDescent="0.35">
      <c r="A51" s="3"/>
      <c r="B51" s="3"/>
      <c r="C51" s="3"/>
      <c r="D51" s="3" t="s">
        <v>15</v>
      </c>
      <c r="E51" s="3"/>
      <c r="F51" s="3"/>
      <c r="G51" s="46">
        <v>791228</v>
      </c>
      <c r="H51" s="46">
        <v>0</v>
      </c>
      <c r="I51" s="46">
        <v>0</v>
      </c>
      <c r="J51" s="46">
        <f>G51+H51-I51</f>
        <v>791228</v>
      </c>
      <c r="K51" s="3"/>
      <c r="L51" s="3"/>
      <c r="M51" s="3"/>
      <c r="N51" s="3"/>
      <c r="O51" s="3"/>
      <c r="P51" s="3"/>
      <c r="Q51" s="3"/>
      <c r="R51" s="3" t="s">
        <v>18</v>
      </c>
      <c r="S51" s="3"/>
      <c r="T51" s="3"/>
      <c r="U51" s="11">
        <f>+G128+G155+G181</f>
        <v>573</v>
      </c>
      <c r="V51" s="11">
        <f>+H128+H155+H181</f>
        <v>0</v>
      </c>
      <c r="W51" s="11">
        <v>0</v>
      </c>
      <c r="X51" s="11">
        <f>U51+V51-W51</f>
        <v>573</v>
      </c>
      <c r="Y51" s="3"/>
      <c r="Z51" s="10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</row>
    <row r="52" spans="1:87" ht="17.25" x14ac:dyDescent="0.35">
      <c r="A52" s="3"/>
      <c r="B52" s="3"/>
      <c r="C52" s="3" t="s">
        <v>20</v>
      </c>
      <c r="D52" s="3"/>
      <c r="E52" s="3"/>
      <c r="F52" s="3"/>
      <c r="G52" s="10"/>
      <c r="H52" s="10"/>
      <c r="I52" s="10"/>
      <c r="J52" s="10"/>
      <c r="K52" s="3"/>
      <c r="L52" s="3"/>
      <c r="M52" s="3"/>
      <c r="N52" s="3"/>
      <c r="O52" s="3"/>
      <c r="P52" s="3"/>
      <c r="Q52" s="3"/>
      <c r="R52" s="3"/>
      <c r="S52" s="3"/>
      <c r="T52" s="3" t="s">
        <v>22</v>
      </c>
      <c r="U52" s="11">
        <f>SUM(U49:U51)</f>
        <v>946</v>
      </c>
      <c r="V52" s="11">
        <f>SUM(V49:V51)</f>
        <v>827</v>
      </c>
      <c r="W52" s="11">
        <f t="shared" ref="W52:X52" si="17">SUM(W49:W51)</f>
        <v>0</v>
      </c>
      <c r="X52" s="11">
        <f t="shared" si="17"/>
        <v>1773</v>
      </c>
      <c r="Y52" s="3"/>
      <c r="Z52" s="10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</row>
    <row r="53" spans="1:87" x14ac:dyDescent="0.25">
      <c r="A53" s="3"/>
      <c r="B53" s="3"/>
      <c r="C53" s="3"/>
      <c r="D53" s="3" t="s">
        <v>16</v>
      </c>
      <c r="E53" s="3"/>
      <c r="F53" s="3"/>
      <c r="G53" s="10">
        <v>958782</v>
      </c>
      <c r="H53" s="10">
        <v>540000</v>
      </c>
      <c r="I53" s="10">
        <v>0</v>
      </c>
      <c r="J53" s="10">
        <f>G53+H53-I53</f>
        <v>1498782</v>
      </c>
      <c r="K53" s="3"/>
      <c r="L53" s="3"/>
      <c r="M53" s="3"/>
      <c r="N53" s="3"/>
      <c r="O53" s="3"/>
      <c r="P53" s="3"/>
      <c r="Q53" s="3" t="s">
        <v>19</v>
      </c>
      <c r="R53" s="3"/>
      <c r="S53" s="3"/>
      <c r="T53" s="3"/>
      <c r="U53" s="10"/>
      <c r="V53" s="10"/>
      <c r="W53" s="10"/>
      <c r="X53" s="10"/>
      <c r="Y53" s="3"/>
      <c r="Z53" s="10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</row>
    <row r="54" spans="1:87" x14ac:dyDescent="0.25">
      <c r="A54" s="3"/>
      <c r="B54" s="3"/>
      <c r="C54" s="3"/>
      <c r="D54" s="3" t="s">
        <v>17</v>
      </c>
      <c r="E54" s="3"/>
      <c r="F54" s="3"/>
      <c r="G54" s="10">
        <v>225667</v>
      </c>
      <c r="H54" s="10">
        <v>110000</v>
      </c>
      <c r="I54" s="10">
        <v>0</v>
      </c>
      <c r="J54" s="10">
        <f>G54+H54-I54</f>
        <v>335667</v>
      </c>
      <c r="K54" s="3"/>
      <c r="L54" s="3"/>
      <c r="M54" s="3"/>
      <c r="N54" s="3"/>
      <c r="O54" s="3"/>
      <c r="P54" s="3"/>
      <c r="Q54" s="3"/>
      <c r="R54" s="3" t="s">
        <v>17</v>
      </c>
      <c r="S54" s="3"/>
      <c r="T54" s="3"/>
      <c r="U54" s="8">
        <f>+G131+G158+G184</f>
        <v>0</v>
      </c>
      <c r="V54" s="8">
        <f>+H131+H158+H184</f>
        <v>400</v>
      </c>
      <c r="W54" s="10">
        <v>0</v>
      </c>
      <c r="X54" s="10">
        <f t="shared" ref="X54:X55" si="18">U54+V54-W54</f>
        <v>400</v>
      </c>
      <c r="Y54" s="3"/>
      <c r="Z54" s="10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</row>
    <row r="55" spans="1:87" ht="17.25" x14ac:dyDescent="0.35">
      <c r="A55" s="3"/>
      <c r="B55" s="3"/>
      <c r="C55" s="3"/>
      <c r="D55" s="3" t="s">
        <v>18</v>
      </c>
      <c r="E55" s="3"/>
      <c r="F55" s="3"/>
      <c r="G55" s="11">
        <v>74891</v>
      </c>
      <c r="H55" s="11">
        <v>0</v>
      </c>
      <c r="I55" s="11">
        <v>0</v>
      </c>
      <c r="J55" s="11">
        <f>G55+H55-I55</f>
        <v>74891</v>
      </c>
      <c r="K55" s="3"/>
      <c r="L55" s="3"/>
      <c r="M55" s="3"/>
      <c r="N55" s="3"/>
      <c r="O55" s="3"/>
      <c r="P55" s="3"/>
      <c r="Q55" s="3"/>
      <c r="R55" s="3" t="s">
        <v>18</v>
      </c>
      <c r="S55" s="3"/>
      <c r="T55" s="3"/>
      <c r="U55" s="11">
        <v>0</v>
      </c>
      <c r="V55" s="11">
        <f>+H132+H159+H185</f>
        <v>373</v>
      </c>
      <c r="W55" s="11">
        <v>0</v>
      </c>
      <c r="X55" s="11">
        <f t="shared" si="18"/>
        <v>373</v>
      </c>
      <c r="Y55" s="3"/>
      <c r="Z55" s="10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</row>
    <row r="56" spans="1:87" ht="17.25" x14ac:dyDescent="0.35">
      <c r="A56" s="3"/>
      <c r="B56" s="3"/>
      <c r="C56" s="3"/>
      <c r="D56" s="3"/>
      <c r="E56" s="3" t="s">
        <v>223</v>
      </c>
      <c r="F56" s="3"/>
      <c r="G56" s="11">
        <v>1259340</v>
      </c>
      <c r="H56" s="11">
        <v>650000</v>
      </c>
      <c r="I56" s="11">
        <f t="shared" ref="I56" si="19">SUM(I53:I55)</f>
        <v>0</v>
      </c>
      <c r="J56" s="11">
        <f>SUM(J53:J55)</f>
        <v>1909340</v>
      </c>
      <c r="K56" s="3"/>
      <c r="L56" s="47" t="str">
        <f>IF(+G56+H56-I56-J56=0,"OK",+G56+H56-I56-J56)</f>
        <v>OK</v>
      </c>
      <c r="M56" s="3"/>
      <c r="N56" s="3"/>
      <c r="O56" s="3"/>
      <c r="P56" s="3"/>
      <c r="Q56" s="3"/>
      <c r="R56" s="3"/>
      <c r="S56" s="3"/>
      <c r="T56" s="3" t="s">
        <v>23</v>
      </c>
      <c r="U56" s="11">
        <f>SUM(U53:U55)</f>
        <v>0</v>
      </c>
      <c r="V56" s="11">
        <f>SUM(V53:V55)</f>
        <v>773</v>
      </c>
      <c r="W56" s="11">
        <f t="shared" ref="W56:X56" si="20">SUM(W53:W55)</f>
        <v>0</v>
      </c>
      <c r="X56" s="11">
        <f t="shared" si="20"/>
        <v>773</v>
      </c>
      <c r="Y56" s="3"/>
      <c r="Z56" s="10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</row>
    <row r="57" spans="1:87" ht="17.25" x14ac:dyDescent="0.35">
      <c r="A57" s="3"/>
      <c r="B57" s="3"/>
      <c r="C57" s="3" t="s">
        <v>19</v>
      </c>
      <c r="D57" s="3"/>
      <c r="E57" s="3"/>
      <c r="F57" s="3"/>
      <c r="G57" s="10"/>
      <c r="H57" s="10"/>
      <c r="I57" s="10"/>
      <c r="J57" s="10"/>
      <c r="K57" s="3"/>
      <c r="L57" s="3"/>
      <c r="M57" s="3"/>
      <c r="N57" s="3"/>
      <c r="O57" s="3"/>
      <c r="P57" s="3"/>
      <c r="Q57" s="3"/>
      <c r="R57" s="3" t="s">
        <v>324</v>
      </c>
      <c r="S57" s="3"/>
      <c r="T57" s="3"/>
      <c r="U57" s="46">
        <f>+U52-U56</f>
        <v>946</v>
      </c>
      <c r="V57" s="11"/>
      <c r="W57" s="11"/>
      <c r="X57" s="46">
        <f>+X52-X56</f>
        <v>1000</v>
      </c>
      <c r="Y57" s="3"/>
      <c r="Z57" s="10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</row>
    <row r="58" spans="1:87" ht="17.25" x14ac:dyDescent="0.35">
      <c r="A58" s="3"/>
      <c r="B58" s="3"/>
      <c r="C58" s="3"/>
      <c r="D58" s="3" t="s">
        <v>16</v>
      </c>
      <c r="E58" s="3"/>
      <c r="F58" s="3"/>
      <c r="G58" s="10">
        <v>85921</v>
      </c>
      <c r="H58" s="10">
        <v>11890</v>
      </c>
      <c r="I58" s="10">
        <v>0</v>
      </c>
      <c r="J58" s="10">
        <f t="shared" ref="J58:J60" si="21">G58+H58-I58</f>
        <v>97811</v>
      </c>
      <c r="K58" s="3"/>
      <c r="L58" s="3"/>
      <c r="M58" s="3"/>
      <c r="N58" s="3"/>
      <c r="O58" s="3"/>
      <c r="P58" s="3"/>
      <c r="Q58" s="3"/>
      <c r="R58" s="3" t="s">
        <v>109</v>
      </c>
      <c r="S58" s="3"/>
      <c r="T58" s="3"/>
      <c r="U58" s="15">
        <f>+U45+U57</f>
        <v>26153</v>
      </c>
      <c r="V58" s="10"/>
      <c r="W58" s="10"/>
      <c r="X58" s="15">
        <f>+X45+X57</f>
        <v>33541</v>
      </c>
      <c r="Y58" s="3"/>
      <c r="Z58" s="10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</row>
    <row r="59" spans="1:87" x14ac:dyDescent="0.25">
      <c r="A59" s="3"/>
      <c r="B59" s="3"/>
      <c r="C59" s="3"/>
      <c r="D59" s="3" t="s">
        <v>17</v>
      </c>
      <c r="E59" s="3"/>
      <c r="F59" s="3"/>
      <c r="G59" s="10">
        <v>11005</v>
      </c>
      <c r="H59" s="10">
        <v>3302</v>
      </c>
      <c r="I59" s="10">
        <v>0</v>
      </c>
      <c r="J59" s="10">
        <f t="shared" si="21"/>
        <v>14307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10"/>
      <c r="V59" s="10"/>
      <c r="W59" s="10"/>
      <c r="X59" s="10"/>
      <c r="Y59" s="3"/>
      <c r="Z59" s="10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</row>
    <row r="60" spans="1:87" ht="17.25" x14ac:dyDescent="0.35">
      <c r="A60" s="3"/>
      <c r="B60" s="3"/>
      <c r="C60" s="3"/>
      <c r="D60" s="3" t="s">
        <v>18</v>
      </c>
      <c r="E60" s="3"/>
      <c r="F60" s="3"/>
      <c r="G60" s="11">
        <v>51228</v>
      </c>
      <c r="H60" s="11">
        <v>1338</v>
      </c>
      <c r="I60" s="11">
        <v>0</v>
      </c>
      <c r="J60" s="11">
        <f t="shared" si="21"/>
        <v>52566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11"/>
      <c r="V60" s="10"/>
      <c r="W60" s="10"/>
      <c r="X60" s="11"/>
      <c r="Y60" s="10"/>
      <c r="Z60" s="10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</row>
    <row r="61" spans="1:87" ht="17.25" x14ac:dyDescent="0.35">
      <c r="A61" s="3"/>
      <c r="B61" s="3"/>
      <c r="C61" s="3"/>
      <c r="D61" s="3"/>
      <c r="E61" s="3" t="s">
        <v>23</v>
      </c>
      <c r="F61" s="3"/>
      <c r="G61" s="11">
        <v>148154</v>
      </c>
      <c r="H61" s="11">
        <v>16530</v>
      </c>
      <c r="I61" s="11">
        <f t="shared" ref="I61:J61" si="22">SUM(I58:I60)</f>
        <v>0</v>
      </c>
      <c r="J61" s="11">
        <f t="shared" si="22"/>
        <v>164684</v>
      </c>
      <c r="K61" s="3"/>
      <c r="L61" s="47" t="str">
        <f>IF(+G61+H61-I61-J61=0,"OK",+G61+H61-I61-J61)</f>
        <v>OK</v>
      </c>
      <c r="M61" s="3"/>
      <c r="N61" s="3"/>
      <c r="O61" s="3"/>
      <c r="P61" s="3"/>
      <c r="Q61" s="3" t="s">
        <v>107</v>
      </c>
      <c r="R61" s="3"/>
      <c r="S61" s="3"/>
      <c r="T61" s="3"/>
      <c r="U61" s="48" t="str">
        <f>IF(U31-G64=0,"Agrees to detail",U31-G64)</f>
        <v>Agrees to detail</v>
      </c>
      <c r="V61" s="10"/>
      <c r="W61" s="10"/>
      <c r="X61" s="49" t="str">
        <f>IF(X31-J64=0,"Agrees to detail",X31-J64)</f>
        <v>Agrees to detail</v>
      </c>
      <c r="Y61" s="10"/>
      <c r="Z61" s="10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</row>
    <row r="62" spans="1:87" ht="17.25" x14ac:dyDescent="0.35">
      <c r="A62" s="3"/>
      <c r="B62" s="3"/>
      <c r="C62" s="3" t="s">
        <v>236</v>
      </c>
      <c r="D62" s="3"/>
      <c r="E62" s="3"/>
      <c r="F62" s="3"/>
      <c r="G62" s="46">
        <v>1111186</v>
      </c>
      <c r="H62" s="11"/>
      <c r="I62" s="11"/>
      <c r="J62" s="46">
        <f>J56-J61</f>
        <v>1744656</v>
      </c>
      <c r="K62" s="3"/>
      <c r="L62" s="3"/>
      <c r="M62" s="3"/>
      <c r="N62" s="3"/>
      <c r="O62" s="3"/>
      <c r="P62" s="3"/>
      <c r="Q62" s="3" t="s">
        <v>109</v>
      </c>
      <c r="R62" s="3"/>
      <c r="S62" s="3"/>
      <c r="T62" s="3"/>
      <c r="U62" s="48" t="str">
        <f>IF(U58-G189=0,"Agrees to detail",U58-G189)</f>
        <v>Agrees to detail</v>
      </c>
      <c r="V62" s="10"/>
      <c r="W62" s="10"/>
      <c r="X62" s="49" t="str">
        <f>IF(X58-J189=0,"Agrees to detail",X58-J189)</f>
        <v>Agrees to detail</v>
      </c>
      <c r="Y62" s="10"/>
      <c r="Z62" s="11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</row>
    <row r="63" spans="1:87" ht="17.25" x14ac:dyDescent="0.35">
      <c r="A63" s="3"/>
      <c r="B63" s="3"/>
      <c r="C63" s="3"/>
      <c r="D63" s="3" t="s">
        <v>237</v>
      </c>
      <c r="G63" s="15">
        <f>G51+G62</f>
        <v>1902414</v>
      </c>
      <c r="H63" s="11"/>
      <c r="I63" s="11"/>
      <c r="J63" s="15">
        <f>J51+J62</f>
        <v>2535884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48"/>
      <c r="V63" s="10"/>
      <c r="W63" s="10"/>
      <c r="X63" s="49"/>
      <c r="Y63" s="10"/>
      <c r="Z63" s="11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</row>
    <row r="64" spans="1:87" ht="24.95" customHeight="1" x14ac:dyDescent="0.35">
      <c r="A64" s="3"/>
      <c r="B64" s="3"/>
      <c r="C64" s="3" t="s">
        <v>224</v>
      </c>
      <c r="D64" s="3"/>
      <c r="E64" s="3"/>
      <c r="F64" s="3"/>
      <c r="G64" s="15">
        <v>8508026</v>
      </c>
      <c r="H64" s="10"/>
      <c r="I64" s="10"/>
      <c r="J64" s="15">
        <f>+J19+J30+J35+J46+J62+J51</f>
        <v>9056728</v>
      </c>
      <c r="K64" s="3"/>
      <c r="L64" s="101" t="str">
        <f>IF(+J31+J47+J63-J64=0,"OK",+J31+J47+J63-J64)</f>
        <v>OK</v>
      </c>
      <c r="M64" s="3"/>
      <c r="N64" s="3"/>
      <c r="O64" s="3"/>
      <c r="P64" s="3"/>
      <c r="Q64" s="3"/>
      <c r="R64" s="3"/>
      <c r="S64" s="3"/>
      <c r="T64" s="3"/>
      <c r="U64" s="50"/>
      <c r="V64" s="10"/>
      <c r="W64" s="10"/>
      <c r="X64" s="50"/>
      <c r="Y64" s="10"/>
      <c r="Z64" s="11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</row>
    <row r="65" spans="1:8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10"/>
      <c r="V65" s="10"/>
      <c r="W65" s="10"/>
      <c r="X65" s="10"/>
      <c r="Y65" s="10"/>
      <c r="Z65" s="10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</row>
    <row r="66" spans="1:87" ht="17.25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51" t="s">
        <v>169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</row>
    <row r="67" spans="1:87" ht="17.25" x14ac:dyDescent="0.35">
      <c r="A67" s="3"/>
      <c r="B67" s="3"/>
      <c r="C67" s="3"/>
      <c r="D67" s="3"/>
      <c r="E67" s="3"/>
      <c r="F67" s="3"/>
      <c r="G67" s="3"/>
      <c r="H67" s="52" t="s">
        <v>167</v>
      </c>
      <c r="I67" s="26"/>
      <c r="J67" s="26"/>
      <c r="K67" s="3"/>
      <c r="L67" s="3"/>
      <c r="M67" s="4">
        <f>'For MD&amp;A'!C8</f>
        <v>43646</v>
      </c>
      <c r="N67" s="4">
        <f>'For MD&amp;A'!B8</f>
        <v>44012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</row>
    <row r="68" spans="1:87" x14ac:dyDescent="0.25">
      <c r="A68" s="3"/>
      <c r="B68" s="3"/>
      <c r="C68" s="3"/>
      <c r="D68" s="3"/>
      <c r="E68" s="3"/>
      <c r="F68" s="163" t="s">
        <v>212</v>
      </c>
      <c r="G68" s="163"/>
      <c r="H68" s="3"/>
      <c r="I68" s="3"/>
      <c r="J68" s="3"/>
      <c r="K68" s="3"/>
      <c r="L68" s="3" t="s">
        <v>15</v>
      </c>
      <c r="M68" s="8">
        <f>+G19+G35+G51</f>
        <v>2825813</v>
      </c>
      <c r="N68" s="8">
        <f>+J19+J35+J51</f>
        <v>2825813</v>
      </c>
      <c r="O68" s="3"/>
      <c r="P68" s="3"/>
      <c r="Q68" s="3"/>
      <c r="R68" s="3"/>
      <c r="S68" s="3"/>
      <c r="T68" s="3"/>
      <c r="U68" s="3"/>
      <c r="V68" s="3"/>
      <c r="W68" s="3"/>
      <c r="X68" s="8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</row>
    <row r="69" spans="1:87" x14ac:dyDescent="0.25">
      <c r="A69" s="3"/>
      <c r="B69" s="3"/>
      <c r="C69" s="3"/>
      <c r="D69" s="3"/>
      <c r="E69" s="3"/>
      <c r="F69" s="167"/>
      <c r="G69" s="167"/>
      <c r="H69" s="3"/>
      <c r="I69" s="3"/>
      <c r="J69" s="3"/>
      <c r="K69" s="3"/>
      <c r="L69" s="3" t="s">
        <v>16</v>
      </c>
      <c r="M69" s="10">
        <f>+G21-G26+G37-G42+G53-G58</f>
        <v>5068020</v>
      </c>
      <c r="N69" s="10">
        <f>+J21-J26+J37-J42+J53-J58</f>
        <v>5525245</v>
      </c>
      <c r="O69" s="3"/>
      <c r="P69" s="3"/>
      <c r="Q69" s="3"/>
      <c r="R69" s="3"/>
      <c r="S69" s="3"/>
      <c r="T69" s="3"/>
      <c r="U69" s="3"/>
      <c r="V69" s="3"/>
      <c r="W69" s="3"/>
      <c r="X69" s="10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</row>
    <row r="70" spans="1:87" x14ac:dyDescent="0.25">
      <c r="A70" s="3"/>
      <c r="B70" s="3"/>
      <c r="C70" s="3"/>
      <c r="D70" s="3"/>
      <c r="E70" s="3"/>
      <c r="F70" s="53" t="s">
        <v>172</v>
      </c>
      <c r="G70" s="3"/>
      <c r="H70" s="10">
        <f>+H19+H24+H35+H40+H51+H56</f>
        <v>650000</v>
      </c>
      <c r="I70" s="3"/>
      <c r="J70" s="3"/>
      <c r="K70" s="3"/>
      <c r="L70" s="3" t="s">
        <v>160</v>
      </c>
      <c r="M70" s="10">
        <f>+G22-G27+G38-G43+G54-G59</f>
        <v>484068</v>
      </c>
      <c r="N70" s="10">
        <f>+J22-J27+J38-J43+J54-J59</f>
        <v>579989</v>
      </c>
      <c r="O70" s="3"/>
      <c r="P70" s="3"/>
      <c r="Q70" s="3"/>
      <c r="R70" s="3"/>
      <c r="S70" s="3"/>
      <c r="T70" s="3"/>
      <c r="U70" s="3"/>
      <c r="V70" s="3"/>
      <c r="W70" s="3"/>
      <c r="X70" s="10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</row>
    <row r="71" spans="1:87" ht="17.25" x14ac:dyDescent="0.35">
      <c r="A71" s="3"/>
      <c r="B71" s="3"/>
      <c r="C71" s="3"/>
      <c r="D71" s="3"/>
      <c r="E71" s="3"/>
      <c r="F71" s="54" t="s">
        <v>173</v>
      </c>
      <c r="G71" s="3"/>
      <c r="H71" s="11">
        <f>-H29-H45-H61</f>
        <v>-101298</v>
      </c>
      <c r="I71" s="3"/>
      <c r="J71" s="3"/>
      <c r="K71" s="3"/>
      <c r="L71" s="3" t="s">
        <v>18</v>
      </c>
      <c r="M71" s="11">
        <f>+G23-G28+G39-G44+G55-G60</f>
        <v>130125</v>
      </c>
      <c r="N71" s="11">
        <f>+J23-J28+J39-J44+J55-J60</f>
        <v>125681</v>
      </c>
      <c r="O71" s="3"/>
      <c r="P71" s="3"/>
      <c r="Q71" s="3"/>
      <c r="R71" s="3"/>
      <c r="S71" s="3"/>
      <c r="T71" s="3"/>
      <c r="U71" s="3"/>
      <c r="V71" s="3"/>
      <c r="W71" s="3"/>
      <c r="X71" s="10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</row>
    <row r="72" spans="1:87" ht="17.25" x14ac:dyDescent="0.35">
      <c r="A72" s="3"/>
      <c r="B72" s="3"/>
      <c r="C72" s="3"/>
      <c r="D72" s="3"/>
      <c r="E72" s="3"/>
      <c r="F72" s="55" t="str">
        <f>IF(G72&gt;=0,"Amount: capital outlay &gt; depreciation","Amount: depreciation &gt; capital outlay")</f>
        <v>Amount: capital outlay &gt; depreciation</v>
      </c>
      <c r="G72" s="3"/>
      <c r="H72" s="50">
        <f>H70+H71</f>
        <v>548702</v>
      </c>
      <c r="I72" s="3"/>
      <c r="J72" s="3"/>
      <c r="K72" s="3"/>
      <c r="L72" s="12" t="s">
        <v>161</v>
      </c>
      <c r="M72" s="15">
        <f>SUM(M68:M71)</f>
        <v>8508026</v>
      </c>
      <c r="N72" s="15">
        <f>SUM(N68:N71)</f>
        <v>9056728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</row>
    <row r="73" spans="1:8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16" t="s">
        <v>168</v>
      </c>
      <c r="M73" s="24" t="str">
        <f>IF(M72-G64=0,"Yes",M72-G64)</f>
        <v>Yes</v>
      </c>
      <c r="N73" s="24" t="str">
        <f>IF(N72-J64=0,"Yes",N72-J64)</f>
        <v>Yes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</row>
    <row r="74" spans="1:8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</row>
    <row r="75" spans="1:8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 t="s">
        <v>174</v>
      </c>
      <c r="M75" s="8">
        <f>+G24+G40+G56</f>
        <v>6746259</v>
      </c>
      <c r="N75" s="8">
        <f>+J24+J40+J56</f>
        <v>7396259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</row>
    <row r="76" spans="1:87" ht="17.25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 t="s">
        <v>175</v>
      </c>
      <c r="M76" s="11">
        <f>+G29+G45+G61</f>
        <v>1064046</v>
      </c>
      <c r="N76" s="11">
        <f>+J29+J45+J61</f>
        <v>1165344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</row>
    <row r="77" spans="1:87" ht="17.2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 t="s">
        <v>176</v>
      </c>
      <c r="M77" s="15">
        <f>+M75-M76</f>
        <v>5682213</v>
      </c>
      <c r="N77" s="15">
        <f>+N75-N76</f>
        <v>6230915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</row>
    <row r="78" spans="1:87" x14ac:dyDescent="0.25">
      <c r="A78" s="3"/>
      <c r="B78" s="3"/>
      <c r="C78" s="3"/>
      <c r="D78" s="3"/>
      <c r="E78" s="3"/>
      <c r="F78" s="26" t="s">
        <v>40</v>
      </c>
      <c r="G78" s="26"/>
      <c r="H78" s="3"/>
      <c r="I78" s="3"/>
      <c r="J78" s="3"/>
      <c r="K78" s="3"/>
      <c r="L78" s="3" t="s">
        <v>209</v>
      </c>
      <c r="M78" s="24" t="str">
        <f>IF(SUM(M69:M71)-M77=0,"Yes",SUM(M69:M71)-M77)</f>
        <v>Yes</v>
      </c>
      <c r="N78" s="24" t="str">
        <f>IF(SUM(N69:N71)-N77=0,"Yes",SUM(N69:N71)-N77)</f>
        <v>Yes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</row>
    <row r="79" spans="1:87" x14ac:dyDescent="0.25">
      <c r="A79" s="3"/>
      <c r="B79" s="3"/>
      <c r="C79" s="3"/>
      <c r="D79" s="3"/>
      <c r="E79" s="3"/>
      <c r="F79" s="56"/>
      <c r="G79" s="5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</row>
    <row r="80" spans="1:87" x14ac:dyDescent="0.25">
      <c r="A80" s="3"/>
      <c r="B80" s="3"/>
      <c r="C80" s="3"/>
      <c r="D80" s="3"/>
      <c r="E80" s="3"/>
      <c r="F80" s="44" t="s">
        <v>241</v>
      </c>
      <c r="G80" s="3"/>
      <c r="H80" s="3"/>
      <c r="I80" s="3"/>
      <c r="J80" s="3"/>
      <c r="K80" s="3"/>
      <c r="L80" s="44" t="s">
        <v>214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</row>
    <row r="81" spans="1:87" x14ac:dyDescent="0.25">
      <c r="A81" s="3"/>
      <c r="B81" s="3"/>
      <c r="C81" s="3"/>
      <c r="D81" s="3"/>
      <c r="E81" s="3"/>
      <c r="F81" s="3" t="s">
        <v>32</v>
      </c>
      <c r="G81" s="8">
        <f>+G83-G82</f>
        <v>32525</v>
      </c>
      <c r="H81" s="3"/>
      <c r="I81" s="3"/>
      <c r="J81" s="3"/>
      <c r="K81" s="3"/>
      <c r="L81" s="3" t="s">
        <v>215</v>
      </c>
      <c r="N81" s="8">
        <f>N68+N75</f>
        <v>10222072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</row>
    <row r="82" spans="1:87" ht="17.25" x14ac:dyDescent="0.35">
      <c r="A82" s="3"/>
      <c r="B82" s="3"/>
      <c r="C82" s="3"/>
      <c r="D82" s="3"/>
      <c r="E82" s="3"/>
      <c r="F82" s="3" t="s">
        <v>33</v>
      </c>
      <c r="G82" s="11">
        <v>3741</v>
      </c>
      <c r="H82" s="57" t="s">
        <v>182</v>
      </c>
      <c r="I82" s="3"/>
      <c r="J82" s="3"/>
      <c r="K82" s="3"/>
      <c r="L82" s="3" t="s">
        <v>175</v>
      </c>
      <c r="N82" s="11">
        <f>N76</f>
        <v>1165344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</row>
    <row r="83" spans="1:87" ht="18" x14ac:dyDescent="0.4">
      <c r="A83" s="3"/>
      <c r="B83" s="3"/>
      <c r="C83" s="3"/>
      <c r="D83" s="3"/>
      <c r="E83" s="3"/>
      <c r="F83" s="58" t="s">
        <v>34</v>
      </c>
      <c r="G83" s="15">
        <f>+H29</f>
        <v>36266</v>
      </c>
      <c r="H83" s="3"/>
      <c r="I83" s="3"/>
      <c r="J83" s="3"/>
      <c r="K83" s="3"/>
      <c r="L83" t="str">
        <f>IF(AND(J64=N72,N72=N83),"Total","Total variation - Investigate")</f>
        <v>Total</v>
      </c>
      <c r="N83" s="98">
        <f>+N81-N82</f>
        <v>9056728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</row>
    <row r="84" spans="1:87" ht="17.25" x14ac:dyDescent="0.35">
      <c r="A84" s="3"/>
      <c r="B84" s="3"/>
      <c r="C84" s="3"/>
      <c r="D84" s="3"/>
      <c r="E84" s="3"/>
      <c r="F84" s="58"/>
      <c r="G84" s="1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</row>
    <row r="85" spans="1:87" ht="17.25" x14ac:dyDescent="0.35">
      <c r="A85" s="3"/>
      <c r="B85" s="3"/>
      <c r="C85" s="3"/>
      <c r="D85" s="3"/>
      <c r="E85" s="3"/>
      <c r="F85" s="59" t="s">
        <v>242</v>
      </c>
      <c r="G85" s="1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</row>
    <row r="86" spans="1:87" x14ac:dyDescent="0.25">
      <c r="A86" s="3"/>
      <c r="B86" s="3"/>
      <c r="C86" s="3"/>
      <c r="D86" s="3"/>
      <c r="E86" s="3"/>
      <c r="F86" s="3" t="s">
        <v>32</v>
      </c>
      <c r="G86" s="8">
        <f>+G88-G87</f>
        <v>43872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</row>
    <row r="87" spans="1:87" ht="17.25" x14ac:dyDescent="0.35">
      <c r="A87" s="3"/>
      <c r="B87" s="3"/>
      <c r="C87" s="3"/>
      <c r="D87" s="3"/>
      <c r="E87" s="3"/>
      <c r="F87" s="3" t="s">
        <v>33</v>
      </c>
      <c r="G87" s="11">
        <v>4630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</row>
    <row r="88" spans="1:87" ht="17.25" x14ac:dyDescent="0.35">
      <c r="A88" s="3"/>
      <c r="B88" s="3"/>
      <c r="C88" s="3"/>
      <c r="D88" s="3"/>
      <c r="E88" s="3"/>
      <c r="F88" s="58" t="s">
        <v>34</v>
      </c>
      <c r="G88" s="15">
        <f>+H45</f>
        <v>48502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</row>
    <row r="89" spans="1:87" ht="17.25" x14ac:dyDescent="0.35">
      <c r="A89" s="3"/>
      <c r="B89" s="3"/>
      <c r="C89" s="3"/>
      <c r="D89" s="3"/>
      <c r="E89" s="3"/>
      <c r="F89" s="58"/>
      <c r="G89" s="1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</row>
    <row r="90" spans="1:87" ht="17.25" x14ac:dyDescent="0.35">
      <c r="A90" s="3"/>
      <c r="B90" s="3"/>
      <c r="C90" s="3"/>
      <c r="D90" s="3"/>
      <c r="E90" s="3"/>
      <c r="F90" s="59" t="s">
        <v>243</v>
      </c>
      <c r="G90" s="1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</row>
    <row r="91" spans="1:87" x14ac:dyDescent="0.25">
      <c r="A91" s="3"/>
      <c r="B91" s="3"/>
      <c r="C91" s="3"/>
      <c r="D91" s="3"/>
      <c r="E91" s="3"/>
      <c r="F91" s="3" t="s">
        <v>32</v>
      </c>
      <c r="G91" s="8">
        <f>+G93-G92</f>
        <v>15708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</row>
    <row r="92" spans="1:87" ht="17.25" x14ac:dyDescent="0.35">
      <c r="A92" s="3"/>
      <c r="B92" s="3"/>
      <c r="C92" s="3"/>
      <c r="D92" s="3"/>
      <c r="E92" s="3"/>
      <c r="F92" s="3" t="s">
        <v>33</v>
      </c>
      <c r="G92" s="11">
        <v>822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</row>
    <row r="93" spans="1:87" ht="17.25" x14ac:dyDescent="0.35">
      <c r="A93" s="3"/>
      <c r="B93" s="3"/>
      <c r="C93" s="3"/>
      <c r="D93" s="3"/>
      <c r="E93" s="3"/>
      <c r="F93" s="58" t="s">
        <v>34</v>
      </c>
      <c r="G93" s="15">
        <f>+H61</f>
        <v>16530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</row>
    <row r="94" spans="1:87" ht="17.25" x14ac:dyDescent="0.35">
      <c r="A94" s="3"/>
      <c r="B94" s="3"/>
      <c r="C94" s="3"/>
      <c r="D94" s="3"/>
      <c r="E94" s="3"/>
      <c r="F94" s="58"/>
      <c r="G94" s="1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</row>
    <row r="95" spans="1:87" ht="17.25" x14ac:dyDescent="0.35">
      <c r="A95" s="3"/>
      <c r="B95" s="3"/>
      <c r="C95" s="3"/>
      <c r="D95" s="3"/>
      <c r="E95" s="3"/>
      <c r="F95" s="3" t="s">
        <v>183</v>
      </c>
      <c r="G95" s="1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</row>
    <row r="96" spans="1:87" x14ac:dyDescent="0.25">
      <c r="A96" s="3"/>
      <c r="B96" s="3"/>
      <c r="C96" s="3"/>
      <c r="D96" s="3"/>
      <c r="E96" s="3"/>
      <c r="F96" s="3" t="s">
        <v>32</v>
      </c>
      <c r="G96" s="8">
        <f>+G81+G86+G91</f>
        <v>92105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</row>
    <row r="97" spans="1:87" ht="17.25" x14ac:dyDescent="0.35">
      <c r="A97" s="3"/>
      <c r="B97" s="3"/>
      <c r="C97" s="3"/>
      <c r="D97" s="3"/>
      <c r="E97" s="3"/>
      <c r="F97" s="3" t="s">
        <v>33</v>
      </c>
      <c r="G97" s="11">
        <f>+G82+G87+G92</f>
        <v>9193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</row>
    <row r="98" spans="1:87" ht="17.25" x14ac:dyDescent="0.35">
      <c r="A98" s="3"/>
      <c r="B98" s="3"/>
      <c r="C98" s="3"/>
      <c r="D98" s="3"/>
      <c r="E98" s="3"/>
      <c r="F98" s="58" t="s">
        <v>184</v>
      </c>
      <c r="G98" s="15">
        <f>+G83+G88+G93</f>
        <v>101298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</row>
    <row r="99" spans="1:87" ht="17.25" x14ac:dyDescent="0.35">
      <c r="A99" s="3"/>
      <c r="B99" s="3"/>
      <c r="C99" s="3"/>
      <c r="D99" s="3"/>
      <c r="E99" s="3"/>
      <c r="F99" s="58"/>
      <c r="G99" s="1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</row>
    <row r="100" spans="1:87" ht="17.25" x14ac:dyDescent="0.35">
      <c r="A100" s="3"/>
      <c r="B100" s="3"/>
      <c r="C100" s="3"/>
      <c r="D100" s="3"/>
      <c r="E100" s="3"/>
      <c r="F100" s="58"/>
      <c r="G100" s="102" t="s">
        <v>241</v>
      </c>
      <c r="H100" s="102" t="s">
        <v>242</v>
      </c>
      <c r="I100" s="102" t="s">
        <v>243</v>
      </c>
      <c r="J100" s="102" t="s">
        <v>48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</row>
    <row r="101" spans="1:87" x14ac:dyDescent="0.25">
      <c r="A101" s="3"/>
      <c r="B101" s="3"/>
      <c r="C101" s="3"/>
      <c r="D101" s="3"/>
      <c r="E101" s="3"/>
      <c r="F101" s="3" t="s">
        <v>32</v>
      </c>
      <c r="G101" s="8">
        <f>G81</f>
        <v>32525</v>
      </c>
      <c r="H101" s="8">
        <f>G86</f>
        <v>43872</v>
      </c>
      <c r="I101" s="8">
        <f>G91</f>
        <v>15708</v>
      </c>
      <c r="J101" s="8">
        <f>SUM(G101:I101)</f>
        <v>92105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</row>
    <row r="102" spans="1:87" ht="17.25" x14ac:dyDescent="0.35">
      <c r="A102" s="3"/>
      <c r="B102" s="3"/>
      <c r="C102" s="3"/>
      <c r="D102" s="3"/>
      <c r="E102" s="3"/>
      <c r="F102" s="3" t="s">
        <v>33</v>
      </c>
      <c r="G102" s="11">
        <f>G82</f>
        <v>3741</v>
      </c>
      <c r="H102" s="11">
        <f>G87</f>
        <v>4630</v>
      </c>
      <c r="I102" s="11">
        <f>G92</f>
        <v>822</v>
      </c>
      <c r="J102" s="11">
        <f>SUM(G102:I102)</f>
        <v>9193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</row>
    <row r="103" spans="1:87" ht="17.25" x14ac:dyDescent="0.35">
      <c r="A103" s="3"/>
      <c r="B103" s="3"/>
      <c r="C103" s="3"/>
      <c r="D103" s="3"/>
      <c r="E103" s="3"/>
      <c r="F103" s="58" t="s">
        <v>34</v>
      </c>
      <c r="G103" s="15">
        <f>SUM(G101:G102)</f>
        <v>36266</v>
      </c>
      <c r="H103" s="15">
        <f t="shared" ref="H103:J103" si="23">SUM(H101:H102)</f>
        <v>48502</v>
      </c>
      <c r="I103" s="15">
        <f t="shared" si="23"/>
        <v>16530</v>
      </c>
      <c r="J103" s="15">
        <f t="shared" si="23"/>
        <v>101298</v>
      </c>
      <c r="K103" s="3" t="str">
        <f>IF(J103-G98=0,"Yes",J103-G98)</f>
        <v>Yes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</row>
    <row r="104" spans="1:87" ht="17.25" x14ac:dyDescent="0.35">
      <c r="A104" s="3"/>
      <c r="B104" s="3"/>
      <c r="C104" s="3"/>
      <c r="D104" s="3"/>
      <c r="E104" s="3"/>
      <c r="F104" s="58"/>
      <c r="G104" s="1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26"/>
      <c r="AD104" s="26"/>
      <c r="AE104" s="26"/>
      <c r="AF104" s="26"/>
      <c r="AG104" s="26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</row>
    <row r="105" spans="1:87" x14ac:dyDescent="0.25">
      <c r="A105" s="3"/>
      <c r="B105" s="3"/>
      <c r="C105" s="26" t="s">
        <v>171</v>
      </c>
      <c r="D105" s="26"/>
      <c r="E105" s="26"/>
      <c r="F105" s="26"/>
      <c r="G105" s="2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</row>
    <row r="106" spans="1:87" x14ac:dyDescent="0.25">
      <c r="A106" s="3"/>
      <c r="B106" s="3"/>
      <c r="C106" s="26" t="s">
        <v>229</v>
      </c>
      <c r="D106" s="26"/>
      <c r="E106" s="26"/>
      <c r="F106" s="26"/>
      <c r="G106" s="2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</row>
    <row r="107" spans="1:87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</row>
    <row r="108" spans="1:87" x14ac:dyDescent="0.25">
      <c r="A108" s="3"/>
      <c r="B108" s="3"/>
      <c r="C108" s="3"/>
      <c r="D108" s="3"/>
      <c r="E108" s="3"/>
      <c r="F108" s="3"/>
      <c r="G108" s="99" t="s">
        <v>24</v>
      </c>
      <c r="H108" s="99"/>
      <c r="I108" s="99"/>
      <c r="J108" s="99" t="s">
        <v>28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99" t="s">
        <v>24</v>
      </c>
      <c r="AI108" s="99"/>
      <c r="AJ108" s="99"/>
      <c r="AK108" s="99" t="s">
        <v>28</v>
      </c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</row>
    <row r="109" spans="1:87" ht="17.25" x14ac:dyDescent="0.35">
      <c r="A109" s="3"/>
      <c r="B109" s="3"/>
      <c r="C109" s="3"/>
      <c r="D109" s="3"/>
      <c r="E109" s="3"/>
      <c r="F109" s="3"/>
      <c r="G109" s="100" t="s">
        <v>25</v>
      </c>
      <c r="H109" s="100" t="s">
        <v>26</v>
      </c>
      <c r="I109" s="100" t="s">
        <v>27</v>
      </c>
      <c r="J109" s="100" t="s">
        <v>25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100" t="s">
        <v>25</v>
      </c>
      <c r="AI109" s="100" t="s">
        <v>26</v>
      </c>
      <c r="AJ109" s="100" t="s">
        <v>27</v>
      </c>
      <c r="AK109" s="100" t="s">
        <v>25</v>
      </c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</row>
    <row r="110" spans="1:87" x14ac:dyDescent="0.25">
      <c r="A110" s="3"/>
      <c r="B110" s="3" t="s">
        <v>30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 t="s">
        <v>30</v>
      </c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</row>
    <row r="111" spans="1:87" x14ac:dyDescent="0.25">
      <c r="A111" s="60">
        <v>0.33</v>
      </c>
      <c r="B111" s="3"/>
      <c r="C111" s="44" t="s">
        <v>241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61" t="s">
        <v>48</v>
      </c>
      <c r="R111" s="26"/>
      <c r="S111" s="26"/>
      <c r="T111" s="26"/>
      <c r="U111" s="3"/>
      <c r="V111" s="3"/>
      <c r="W111" s="3"/>
      <c r="X111" s="3"/>
      <c r="Y111" s="3"/>
      <c r="Z111" s="3"/>
      <c r="AA111" s="3"/>
      <c r="AB111" s="3"/>
      <c r="AC111" s="3"/>
      <c r="AD111" s="44" t="s">
        <v>241</v>
      </c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</row>
    <row r="112" spans="1:87" x14ac:dyDescent="0.25">
      <c r="A112" s="3"/>
      <c r="B112" s="3"/>
      <c r="C112" s="44" t="s">
        <v>197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 t="s">
        <v>90</v>
      </c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90</v>
      </c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</row>
    <row r="113" spans="1:87" x14ac:dyDescent="0.25">
      <c r="A113" s="3"/>
      <c r="B113" s="3"/>
      <c r="C113" s="3" t="s">
        <v>20</v>
      </c>
      <c r="D113" s="3"/>
      <c r="E113" s="3"/>
      <c r="F113" s="3"/>
      <c r="G113" s="3"/>
      <c r="H113" s="45"/>
      <c r="I113" s="45"/>
      <c r="J113" s="45"/>
      <c r="K113" s="45"/>
      <c r="L113" s="3"/>
      <c r="M113" s="3"/>
      <c r="N113" s="3"/>
      <c r="O113" s="3"/>
      <c r="P113" s="3"/>
      <c r="Q113" s="3" t="s">
        <v>20</v>
      </c>
      <c r="R113" s="3"/>
      <c r="S113" s="3"/>
      <c r="T113" s="3"/>
      <c r="U113" s="3"/>
      <c r="V113" s="45"/>
      <c r="W113" s="45"/>
      <c r="X113" s="45"/>
      <c r="Y113" s="45"/>
      <c r="Z113" s="3"/>
      <c r="AA113" s="3"/>
      <c r="AB113" s="3"/>
      <c r="AC113" s="3"/>
      <c r="AD113" s="3" t="s">
        <v>20</v>
      </c>
      <c r="AE113" s="3"/>
      <c r="AF113" s="3"/>
      <c r="AG113" s="3"/>
      <c r="AH113" s="3"/>
      <c r="AI113" s="45"/>
      <c r="AJ113" s="45"/>
      <c r="AK113" s="45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</row>
    <row r="114" spans="1:87" x14ac:dyDescent="0.25">
      <c r="A114" s="3"/>
      <c r="B114" s="3"/>
      <c r="C114" s="3"/>
      <c r="D114" s="3" t="s">
        <v>17</v>
      </c>
      <c r="E114" s="3"/>
      <c r="F114" s="3"/>
      <c r="G114" s="62">
        <f>ROUND(U114*$A$111,0)+4</f>
        <v>3986</v>
      </c>
      <c r="H114" s="8">
        <f t="shared" ref="H114:H116" si="24">ROUND(V114*$A$111,0)</f>
        <v>2735</v>
      </c>
      <c r="I114" s="8">
        <f t="shared" ref="I114:I116" si="25">ROUND(W114*$A$111,0)</f>
        <v>0</v>
      </c>
      <c r="J114" s="8">
        <f>G114+H114-I114</f>
        <v>6721</v>
      </c>
      <c r="K114" s="3"/>
      <c r="L114" s="3"/>
      <c r="M114" s="3"/>
      <c r="N114" s="3"/>
      <c r="O114" s="3"/>
      <c r="P114" s="3"/>
      <c r="Q114" s="3"/>
      <c r="R114" s="3" t="s">
        <v>17</v>
      </c>
      <c r="S114" s="3"/>
      <c r="T114" s="3"/>
      <c r="U114" s="8">
        <v>12066</v>
      </c>
      <c r="V114" s="8">
        <v>8287</v>
      </c>
      <c r="W114" s="8">
        <v>0</v>
      </c>
      <c r="X114" s="8">
        <f>U114+V114-W114</f>
        <v>20353</v>
      </c>
      <c r="Y114" s="3"/>
      <c r="Z114" s="3"/>
      <c r="AA114" s="3"/>
      <c r="AB114" s="3"/>
      <c r="AC114" s="3"/>
      <c r="AD114" s="3"/>
      <c r="AE114" s="3" t="s">
        <v>17</v>
      </c>
      <c r="AF114" s="3"/>
      <c r="AG114" s="3"/>
      <c r="AH114" s="62">
        <f>G114</f>
        <v>3986</v>
      </c>
      <c r="AI114" s="62">
        <f t="shared" ref="AI114:AK116" si="26">H114</f>
        <v>2735</v>
      </c>
      <c r="AJ114" s="62">
        <f t="shared" si="26"/>
        <v>0</v>
      </c>
      <c r="AK114" s="62">
        <f t="shared" si="26"/>
        <v>6721</v>
      </c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</row>
    <row r="115" spans="1:87" x14ac:dyDescent="0.25">
      <c r="A115" s="3"/>
      <c r="B115" s="3"/>
      <c r="C115" s="3"/>
      <c r="D115" s="3" t="s">
        <v>31</v>
      </c>
      <c r="E115" s="3"/>
      <c r="F115" s="3"/>
      <c r="G115" s="10">
        <f t="shared" ref="G115:G116" si="27">ROUND(U115*$A$111,0)</f>
        <v>1320</v>
      </c>
      <c r="H115" s="10">
        <f t="shared" si="24"/>
        <v>0</v>
      </c>
      <c r="I115" s="10">
        <f t="shared" si="25"/>
        <v>0</v>
      </c>
      <c r="J115" s="10">
        <f>G115+H115-I115</f>
        <v>1320</v>
      </c>
      <c r="K115" s="3"/>
      <c r="L115" s="3"/>
      <c r="M115" s="3"/>
      <c r="N115" s="3"/>
      <c r="O115" s="3"/>
      <c r="P115" s="3"/>
      <c r="Q115" s="3"/>
      <c r="R115" s="3" t="s">
        <v>31</v>
      </c>
      <c r="S115" s="3"/>
      <c r="T115" s="3"/>
      <c r="U115" s="10">
        <v>4000</v>
      </c>
      <c r="V115" s="10">
        <v>0</v>
      </c>
      <c r="W115" s="10">
        <v>0</v>
      </c>
      <c r="X115" s="10">
        <f>U115+V115-W115</f>
        <v>4000</v>
      </c>
      <c r="Y115" s="3"/>
      <c r="Z115" s="3"/>
      <c r="AA115" s="3"/>
      <c r="AB115" s="3"/>
      <c r="AC115" s="3"/>
      <c r="AD115" s="3"/>
      <c r="AE115" s="3" t="s">
        <v>31</v>
      </c>
      <c r="AF115" s="3"/>
      <c r="AG115" s="3"/>
      <c r="AH115" s="10">
        <f>G115</f>
        <v>1320</v>
      </c>
      <c r="AI115" s="10">
        <f t="shared" si="26"/>
        <v>0</v>
      </c>
      <c r="AJ115" s="10">
        <f t="shared" si="26"/>
        <v>0</v>
      </c>
      <c r="AK115" s="10">
        <f t="shared" si="26"/>
        <v>1320</v>
      </c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</row>
    <row r="116" spans="1:87" ht="17.25" x14ac:dyDescent="0.35">
      <c r="A116" s="3"/>
      <c r="B116" s="3"/>
      <c r="C116" s="3"/>
      <c r="D116" s="3" t="s">
        <v>18</v>
      </c>
      <c r="E116" s="3"/>
      <c r="F116" s="3"/>
      <c r="G116" s="11">
        <f t="shared" si="27"/>
        <v>3300</v>
      </c>
      <c r="H116" s="11">
        <f t="shared" si="24"/>
        <v>0</v>
      </c>
      <c r="I116" s="11">
        <f t="shared" si="25"/>
        <v>0</v>
      </c>
      <c r="J116" s="11">
        <f>G116+H116-I116</f>
        <v>3300</v>
      </c>
      <c r="K116" s="3"/>
      <c r="L116" s="3"/>
      <c r="M116" s="3"/>
      <c r="N116" s="3"/>
      <c r="O116" s="3"/>
      <c r="P116" s="3"/>
      <c r="Q116" s="3"/>
      <c r="R116" s="3" t="s">
        <v>18</v>
      </c>
      <c r="S116" s="3"/>
      <c r="T116" s="3"/>
      <c r="U116" s="11">
        <v>10000</v>
      </c>
      <c r="V116" s="11">
        <v>0</v>
      </c>
      <c r="W116" s="11">
        <v>0</v>
      </c>
      <c r="X116" s="11">
        <f>U116+V116-W116</f>
        <v>10000</v>
      </c>
      <c r="Y116" s="3"/>
      <c r="Z116" s="3"/>
      <c r="AA116" s="3"/>
      <c r="AB116" s="3"/>
      <c r="AC116" s="3"/>
      <c r="AD116" s="3"/>
      <c r="AE116" s="3" t="s">
        <v>18</v>
      </c>
      <c r="AF116" s="3"/>
      <c r="AG116" s="3"/>
      <c r="AH116" s="11">
        <f>G116</f>
        <v>3300</v>
      </c>
      <c r="AI116" s="11">
        <f t="shared" si="26"/>
        <v>0</v>
      </c>
      <c r="AJ116" s="11">
        <f t="shared" si="26"/>
        <v>0</v>
      </c>
      <c r="AK116" s="11">
        <f t="shared" si="26"/>
        <v>3300</v>
      </c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</row>
    <row r="117" spans="1:87" ht="17.25" x14ac:dyDescent="0.35">
      <c r="A117" s="3"/>
      <c r="B117" s="3"/>
      <c r="C117" s="3"/>
      <c r="D117" s="3"/>
      <c r="E117" s="3" t="s">
        <v>223</v>
      </c>
      <c r="F117" s="3"/>
      <c r="G117" s="11">
        <f>SUM(G114:G116)</f>
        <v>8606</v>
      </c>
      <c r="H117" s="11">
        <f t="shared" ref="H117" si="28">SUM(H114:H116)</f>
        <v>2735</v>
      </c>
      <c r="I117" s="11">
        <f t="shared" ref="I117" si="29">SUM(I114:I116)</f>
        <v>0</v>
      </c>
      <c r="J117" s="11">
        <f>SUM(J114:J116)</f>
        <v>11341</v>
      </c>
      <c r="K117" s="3"/>
      <c r="L117" s="47" t="str">
        <f>IF(+G117+H117-I117-J117=0,"OK",+G117+H117-I117-J117)</f>
        <v>OK</v>
      </c>
      <c r="M117" s="3"/>
      <c r="N117" s="3"/>
      <c r="O117" s="3"/>
      <c r="P117" s="3"/>
      <c r="Q117" s="3"/>
      <c r="R117" s="3"/>
      <c r="S117" s="3" t="s">
        <v>22</v>
      </c>
      <c r="T117" s="3"/>
      <c r="U117" s="11">
        <f>SUM(U114:U116)</f>
        <v>26066</v>
      </c>
      <c r="V117" s="11">
        <f t="shared" ref="V117:W117" si="30">SUM(V114:V116)</f>
        <v>8287</v>
      </c>
      <c r="W117" s="11">
        <f t="shared" si="30"/>
        <v>0</v>
      </c>
      <c r="X117" s="11">
        <f>SUM(X114:X116)</f>
        <v>34353</v>
      </c>
      <c r="Y117" s="3"/>
      <c r="Z117" s="47" t="str">
        <f>IF(+U117+V117-W117-X117=0,"OK",+U117+V117-W117-X117)</f>
        <v>OK</v>
      </c>
      <c r="AA117" s="3"/>
      <c r="AB117" s="3"/>
      <c r="AC117" s="3"/>
      <c r="AD117" s="3"/>
      <c r="AE117" s="3"/>
      <c r="AF117" s="3" t="s">
        <v>22</v>
      </c>
      <c r="AG117" s="3"/>
      <c r="AH117" s="11">
        <f>SUM(AH114:AH116)</f>
        <v>8606</v>
      </c>
      <c r="AI117" s="11">
        <f t="shared" ref="AI117:AJ117" si="31">SUM(AI114:AI116)</f>
        <v>2735</v>
      </c>
      <c r="AJ117" s="11">
        <f t="shared" si="31"/>
        <v>0</v>
      </c>
      <c r="AK117" s="11">
        <f>SUM(AK114:AK116)</f>
        <v>11341</v>
      </c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</row>
    <row r="118" spans="1:87" x14ac:dyDescent="0.25">
      <c r="A118" s="3"/>
      <c r="B118" s="3"/>
      <c r="C118" s="3" t="s">
        <v>19</v>
      </c>
      <c r="D118" s="3"/>
      <c r="E118" s="3"/>
      <c r="F118" s="3"/>
      <c r="G118" s="10"/>
      <c r="H118" s="10"/>
      <c r="I118" s="10"/>
      <c r="J118" s="10"/>
      <c r="K118" s="3"/>
      <c r="L118" s="3"/>
      <c r="M118" s="3"/>
      <c r="N118" s="3"/>
      <c r="O118" s="3"/>
      <c r="P118" s="3"/>
      <c r="Q118" s="3" t="s">
        <v>19</v>
      </c>
      <c r="R118" s="3"/>
      <c r="S118" s="3"/>
      <c r="T118" s="3"/>
      <c r="U118" s="10"/>
      <c r="V118" s="10"/>
      <c r="W118" s="10"/>
      <c r="X118" s="10"/>
      <c r="Y118" s="3"/>
      <c r="Z118" s="3"/>
      <c r="AA118" s="3"/>
      <c r="AB118" s="3"/>
      <c r="AC118" s="3"/>
      <c r="AD118" s="3" t="s">
        <v>19</v>
      </c>
      <c r="AE118" s="3"/>
      <c r="AF118" s="3"/>
      <c r="AG118" s="3"/>
      <c r="AH118" s="10"/>
      <c r="AI118" s="10"/>
      <c r="AJ118" s="10"/>
      <c r="AK118" s="10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</row>
    <row r="119" spans="1:87" x14ac:dyDescent="0.25">
      <c r="A119" s="3"/>
      <c r="B119" s="3"/>
      <c r="C119" s="3"/>
      <c r="D119" s="3" t="s">
        <v>17</v>
      </c>
      <c r="E119" s="3"/>
      <c r="F119" s="3"/>
      <c r="G119" s="10">
        <f>ROUND(U119*$A$111,0)</f>
        <v>119</v>
      </c>
      <c r="H119" s="10">
        <f t="shared" ref="H119:H121" si="32">ROUND(V119*$A$111,0)</f>
        <v>149</v>
      </c>
      <c r="I119" s="10">
        <f t="shared" ref="I119:I121" si="33">ROUND(W119*$A$111,0)</f>
        <v>0</v>
      </c>
      <c r="J119" s="10">
        <f t="shared" ref="J119:J121" si="34">G119+H119-I119</f>
        <v>268</v>
      </c>
      <c r="K119" s="3"/>
      <c r="L119" s="10">
        <f>+J114-J119</f>
        <v>6453</v>
      </c>
      <c r="M119" s="3"/>
      <c r="N119" s="3"/>
      <c r="O119" s="3"/>
      <c r="P119" s="3"/>
      <c r="Q119" s="3"/>
      <c r="R119" s="3" t="s">
        <v>17</v>
      </c>
      <c r="S119" s="3"/>
      <c r="T119" s="3"/>
      <c r="U119" s="10">
        <v>362</v>
      </c>
      <c r="V119" s="10">
        <v>450</v>
      </c>
      <c r="W119" s="10">
        <v>0</v>
      </c>
      <c r="X119" s="10">
        <f t="shared" ref="X119:X121" si="35">U119+V119-W119</f>
        <v>812</v>
      </c>
      <c r="Y119" s="3"/>
      <c r="Z119" s="3"/>
      <c r="AA119" s="3"/>
      <c r="AB119" s="3"/>
      <c r="AC119" s="3"/>
      <c r="AD119" s="3"/>
      <c r="AE119" s="3" t="s">
        <v>17</v>
      </c>
      <c r="AF119" s="3"/>
      <c r="AG119" s="3"/>
      <c r="AH119" s="62">
        <f>G119</f>
        <v>119</v>
      </c>
      <c r="AI119" s="62">
        <f t="shared" ref="AI119:AI121" si="36">H119</f>
        <v>149</v>
      </c>
      <c r="AJ119" s="62">
        <f t="shared" ref="AJ119:AJ121" si="37">I119</f>
        <v>0</v>
      </c>
      <c r="AK119" s="62">
        <f t="shared" ref="AK119:AK121" si="38">J119</f>
        <v>268</v>
      </c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</row>
    <row r="120" spans="1:87" x14ac:dyDescent="0.25">
      <c r="A120" s="3"/>
      <c r="B120" s="3"/>
      <c r="C120" s="3"/>
      <c r="D120" s="3" t="s">
        <v>31</v>
      </c>
      <c r="E120" s="3"/>
      <c r="F120" s="3"/>
      <c r="G120" s="10">
        <f t="shared" ref="G120:G121" si="39">ROUND(U120*$A$111,0)</f>
        <v>83</v>
      </c>
      <c r="H120" s="10">
        <f t="shared" si="32"/>
        <v>83</v>
      </c>
      <c r="I120" s="10">
        <f t="shared" si="33"/>
        <v>0</v>
      </c>
      <c r="J120" s="10">
        <f t="shared" si="34"/>
        <v>166</v>
      </c>
      <c r="K120" s="3"/>
      <c r="L120" s="10">
        <f t="shared" ref="L120:L121" si="40">+J115-J120</f>
        <v>1154</v>
      </c>
      <c r="M120" s="3"/>
      <c r="N120" s="3"/>
      <c r="O120" s="3"/>
      <c r="P120" s="3"/>
      <c r="Q120" s="3"/>
      <c r="R120" s="3" t="s">
        <v>31</v>
      </c>
      <c r="S120" s="3"/>
      <c r="T120" s="3"/>
      <c r="U120" s="10">
        <v>250</v>
      </c>
      <c r="V120" s="10">
        <v>250</v>
      </c>
      <c r="W120" s="10">
        <v>0</v>
      </c>
      <c r="X120" s="10">
        <f t="shared" si="35"/>
        <v>500</v>
      </c>
      <c r="Y120" s="3"/>
      <c r="Z120" s="3"/>
      <c r="AA120" s="3"/>
      <c r="AB120" s="3"/>
      <c r="AC120" s="3"/>
      <c r="AD120" s="3"/>
      <c r="AE120" s="3" t="s">
        <v>31</v>
      </c>
      <c r="AF120" s="3"/>
      <c r="AG120" s="3"/>
      <c r="AH120" s="10">
        <f>G120</f>
        <v>83</v>
      </c>
      <c r="AI120" s="10">
        <f t="shared" si="36"/>
        <v>83</v>
      </c>
      <c r="AJ120" s="10">
        <f t="shared" si="37"/>
        <v>0</v>
      </c>
      <c r="AK120" s="10">
        <f t="shared" si="38"/>
        <v>166</v>
      </c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</row>
    <row r="121" spans="1:87" ht="17.25" x14ac:dyDescent="0.35">
      <c r="A121" s="3"/>
      <c r="B121" s="3"/>
      <c r="C121" s="3"/>
      <c r="D121" s="3" t="s">
        <v>18</v>
      </c>
      <c r="E121" s="3"/>
      <c r="F121" s="3"/>
      <c r="G121" s="11">
        <f t="shared" si="39"/>
        <v>83</v>
      </c>
      <c r="H121" s="11">
        <f t="shared" si="32"/>
        <v>83</v>
      </c>
      <c r="I121" s="11">
        <f t="shared" si="33"/>
        <v>0</v>
      </c>
      <c r="J121" s="11">
        <f t="shared" si="34"/>
        <v>166</v>
      </c>
      <c r="K121" s="3"/>
      <c r="L121" s="10">
        <f t="shared" si="40"/>
        <v>3134</v>
      </c>
      <c r="M121" s="3"/>
      <c r="N121" s="3"/>
      <c r="O121" s="3"/>
      <c r="P121" s="3"/>
      <c r="Q121" s="3"/>
      <c r="R121" s="3" t="s">
        <v>18</v>
      </c>
      <c r="S121" s="3"/>
      <c r="T121" s="3"/>
      <c r="U121" s="11">
        <v>250</v>
      </c>
      <c r="V121" s="11">
        <v>250</v>
      </c>
      <c r="W121" s="11">
        <v>0</v>
      </c>
      <c r="X121" s="11">
        <f t="shared" si="35"/>
        <v>500</v>
      </c>
      <c r="Y121" s="3"/>
      <c r="Z121" s="3"/>
      <c r="AA121" s="3"/>
      <c r="AB121" s="3"/>
      <c r="AC121" s="3"/>
      <c r="AD121" s="3"/>
      <c r="AE121" s="3" t="s">
        <v>18</v>
      </c>
      <c r="AF121" s="3"/>
      <c r="AG121" s="3"/>
      <c r="AH121" s="11">
        <f>G121</f>
        <v>83</v>
      </c>
      <c r="AI121" s="11">
        <f t="shared" si="36"/>
        <v>83</v>
      </c>
      <c r="AJ121" s="11">
        <f t="shared" si="37"/>
        <v>0</v>
      </c>
      <c r="AK121" s="11">
        <f t="shared" si="38"/>
        <v>166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</row>
    <row r="122" spans="1:87" ht="17.25" x14ac:dyDescent="0.35">
      <c r="A122" s="3"/>
      <c r="B122" s="3"/>
      <c r="C122" s="3"/>
      <c r="D122" s="3"/>
      <c r="E122" s="3" t="s">
        <v>23</v>
      </c>
      <c r="F122" s="3"/>
      <c r="G122" s="11">
        <f>SUM(G119:G121)</f>
        <v>285</v>
      </c>
      <c r="H122" s="11">
        <f t="shared" ref="H122" si="41">SUM(H119:H121)</f>
        <v>315</v>
      </c>
      <c r="I122" s="11">
        <f t="shared" ref="I122" si="42">SUM(I119:I121)</f>
        <v>0</v>
      </c>
      <c r="J122" s="11">
        <f t="shared" ref="J122" si="43">SUM(J119:J121)</f>
        <v>600</v>
      </c>
      <c r="K122" s="3"/>
      <c r="L122" s="47">
        <f>SUM(L119:L121)</f>
        <v>10741</v>
      </c>
      <c r="M122" s="3"/>
      <c r="N122" s="3"/>
      <c r="O122" s="3"/>
      <c r="P122" s="3"/>
      <c r="Q122" s="3"/>
      <c r="R122" s="3"/>
      <c r="S122" s="3" t="s">
        <v>23</v>
      </c>
      <c r="T122" s="3"/>
      <c r="U122" s="11">
        <f>SUM(U119:U121)</f>
        <v>862</v>
      </c>
      <c r="V122" s="11">
        <f t="shared" ref="V122:X122" si="44">SUM(V119:V121)</f>
        <v>950</v>
      </c>
      <c r="W122" s="11">
        <f t="shared" si="44"/>
        <v>0</v>
      </c>
      <c r="X122" s="11">
        <f t="shared" si="44"/>
        <v>1812</v>
      </c>
      <c r="Y122" s="3"/>
      <c r="Z122" s="47" t="str">
        <f>IF(+U122+V122-W122-X122=0,"OK",+U122+V122-W122-X122)</f>
        <v>OK</v>
      </c>
      <c r="AA122" s="3"/>
      <c r="AB122" s="3"/>
      <c r="AC122" s="3"/>
      <c r="AD122" s="3"/>
      <c r="AE122" s="3"/>
      <c r="AF122" s="3" t="s">
        <v>23</v>
      </c>
      <c r="AG122" s="3"/>
      <c r="AH122" s="11">
        <f>SUM(AH119:AH121)</f>
        <v>285</v>
      </c>
      <c r="AI122" s="11">
        <f t="shared" ref="AI122:AK122" si="45">SUM(AI119:AI121)</f>
        <v>315</v>
      </c>
      <c r="AJ122" s="11">
        <f t="shared" si="45"/>
        <v>0</v>
      </c>
      <c r="AK122" s="11">
        <f t="shared" si="45"/>
        <v>600</v>
      </c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</row>
    <row r="123" spans="1:87" ht="17.25" x14ac:dyDescent="0.35">
      <c r="A123" s="3"/>
      <c r="B123" s="3"/>
      <c r="C123" s="3"/>
      <c r="D123" s="3" t="s">
        <v>226</v>
      </c>
      <c r="E123" s="3"/>
      <c r="F123" s="3"/>
      <c r="G123" s="46">
        <f>G117-G122</f>
        <v>8321</v>
      </c>
      <c r="H123" s="11"/>
      <c r="I123" s="11"/>
      <c r="J123" s="46">
        <f>J117-J122</f>
        <v>10741</v>
      </c>
      <c r="K123" s="3"/>
      <c r="L123" s="3"/>
      <c r="M123" s="3"/>
      <c r="N123" s="3"/>
      <c r="O123" s="3"/>
      <c r="P123" s="3"/>
      <c r="Q123" s="3"/>
      <c r="R123" s="3" t="s">
        <v>108</v>
      </c>
      <c r="S123" s="3"/>
      <c r="T123" s="3"/>
      <c r="U123" s="46">
        <f>U117-U122</f>
        <v>25204</v>
      </c>
      <c r="V123" s="11"/>
      <c r="W123" s="11"/>
      <c r="X123" s="46">
        <f>X117-X122</f>
        <v>32541</v>
      </c>
      <c r="Y123" s="3"/>
      <c r="Z123" s="3"/>
      <c r="AA123" s="3"/>
      <c r="AB123" s="3"/>
      <c r="AC123" s="3"/>
      <c r="AD123" s="3"/>
      <c r="AE123" s="3" t="s">
        <v>108</v>
      </c>
      <c r="AF123" s="3"/>
      <c r="AG123" s="3"/>
      <c r="AH123" s="46">
        <f>AH117-AH122</f>
        <v>8321</v>
      </c>
      <c r="AI123" s="11"/>
      <c r="AJ123" s="11"/>
      <c r="AK123" s="46">
        <f>AK117-AK122</f>
        <v>10741</v>
      </c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</row>
    <row r="124" spans="1:87" ht="5.0999999999999996" customHeight="1" x14ac:dyDescent="0.25">
      <c r="A124" s="3"/>
      <c r="B124" s="3"/>
      <c r="C124" s="3"/>
      <c r="D124" s="3"/>
      <c r="E124" s="3"/>
      <c r="F124" s="3"/>
      <c r="G124" s="10"/>
      <c r="H124" s="10"/>
      <c r="I124" s="10"/>
      <c r="J124" s="10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10"/>
      <c r="V124" s="10"/>
      <c r="W124" s="10"/>
      <c r="X124" s="10"/>
      <c r="Y124" s="3"/>
      <c r="Z124" s="3"/>
      <c r="AA124" s="3"/>
      <c r="AB124" s="3"/>
      <c r="AC124" s="3"/>
      <c r="AD124" s="3"/>
      <c r="AE124" s="3"/>
      <c r="AF124" s="3"/>
      <c r="AG124" s="3"/>
      <c r="AH124" s="10"/>
      <c r="AI124" s="10"/>
      <c r="AJ124" s="10"/>
      <c r="AK124" s="10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</row>
    <row r="125" spans="1:87" x14ac:dyDescent="0.25">
      <c r="A125" s="60">
        <v>0.47</v>
      </c>
      <c r="B125" s="3"/>
      <c r="C125" s="44" t="s">
        <v>322</v>
      </c>
      <c r="D125" s="3"/>
      <c r="E125" s="3"/>
      <c r="F125" s="3"/>
      <c r="G125" s="10"/>
      <c r="H125" s="10"/>
      <c r="I125" s="10"/>
      <c r="J125" s="10"/>
      <c r="K125" s="3"/>
      <c r="L125" s="3"/>
      <c r="M125" s="3"/>
      <c r="N125" s="3"/>
      <c r="O125" s="3"/>
      <c r="P125" s="3"/>
      <c r="Q125" s="3" t="s">
        <v>323</v>
      </c>
      <c r="R125" s="3"/>
      <c r="S125" s="3"/>
      <c r="T125" s="3"/>
      <c r="U125" s="10"/>
      <c r="V125" s="10"/>
      <c r="W125" s="10"/>
      <c r="X125" s="10"/>
      <c r="Y125" s="3"/>
      <c r="Z125" s="3"/>
      <c r="AA125" s="3"/>
      <c r="AB125" s="3"/>
      <c r="AC125" s="3"/>
      <c r="AD125" s="3" t="s">
        <v>323</v>
      </c>
      <c r="AE125" s="3"/>
      <c r="AF125" s="3"/>
      <c r="AG125" s="3"/>
      <c r="AH125" s="10"/>
      <c r="AI125" s="10"/>
      <c r="AJ125" s="10"/>
      <c r="AK125" s="10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</row>
    <row r="126" spans="1:87" ht="17.25" x14ac:dyDescent="0.35">
      <c r="A126" s="3"/>
      <c r="B126" s="3"/>
      <c r="C126" s="3" t="s">
        <v>20</v>
      </c>
      <c r="D126" s="3"/>
      <c r="E126" s="3"/>
      <c r="F126" s="3"/>
      <c r="G126" s="10"/>
      <c r="H126" s="10"/>
      <c r="I126" s="10"/>
      <c r="J126" s="10"/>
      <c r="K126" s="100" t="s">
        <v>46</v>
      </c>
      <c r="L126" s="3"/>
      <c r="M126" s="3"/>
      <c r="N126" s="3"/>
      <c r="O126" s="3"/>
      <c r="P126" s="3"/>
      <c r="Q126" s="3" t="s">
        <v>20</v>
      </c>
      <c r="R126" s="3"/>
      <c r="S126" s="3"/>
      <c r="T126" s="3"/>
      <c r="U126" s="10"/>
      <c r="V126" s="10"/>
      <c r="W126" s="10"/>
      <c r="X126" s="10"/>
      <c r="Y126" s="3"/>
      <c r="Z126" s="3"/>
      <c r="AA126" s="3"/>
      <c r="AB126" s="3"/>
      <c r="AC126" s="3"/>
      <c r="AD126" s="3" t="s">
        <v>20</v>
      </c>
      <c r="AE126" s="3"/>
      <c r="AF126" s="3"/>
      <c r="AG126" s="3"/>
      <c r="AH126" s="10"/>
      <c r="AI126" s="10"/>
      <c r="AJ126" s="10"/>
      <c r="AK126" s="10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</row>
    <row r="127" spans="1:87" x14ac:dyDescent="0.25">
      <c r="A127" s="3"/>
      <c r="B127" s="3"/>
      <c r="C127" s="3"/>
      <c r="D127" s="3" t="s">
        <v>17</v>
      </c>
      <c r="E127" s="3"/>
      <c r="F127" s="3"/>
      <c r="G127" s="62">
        <f t="shared" ref="G127:I128" si="46">ROUND(U127*$A$125,0)</f>
        <v>175</v>
      </c>
      <c r="H127" s="8">
        <f t="shared" si="46"/>
        <v>389</v>
      </c>
      <c r="I127" s="8">
        <f t="shared" si="46"/>
        <v>0</v>
      </c>
      <c r="J127" s="8">
        <f>G127+H127-I127</f>
        <v>564</v>
      </c>
      <c r="K127" s="10">
        <f>+J127-J131</f>
        <v>376</v>
      </c>
      <c r="L127" s="3"/>
      <c r="M127" s="3">
        <v>396</v>
      </c>
      <c r="N127" s="3"/>
      <c r="O127" s="3"/>
      <c r="P127" s="3"/>
      <c r="Q127" s="3"/>
      <c r="R127" s="3" t="s">
        <v>17</v>
      </c>
      <c r="S127" s="3"/>
      <c r="T127" s="3"/>
      <c r="U127" s="8">
        <v>373</v>
      </c>
      <c r="V127" s="10">
        <v>827</v>
      </c>
      <c r="W127" s="10">
        <v>0</v>
      </c>
      <c r="X127" s="8">
        <f>U127+V127-W127</f>
        <v>1200</v>
      </c>
      <c r="Y127" s="3"/>
      <c r="Z127" s="3"/>
      <c r="AA127" s="3"/>
      <c r="AB127" s="3"/>
      <c r="AC127" s="3"/>
      <c r="AD127" s="3"/>
      <c r="AE127" s="3" t="s">
        <v>17</v>
      </c>
      <c r="AF127" s="3"/>
      <c r="AG127" s="3"/>
      <c r="AH127" s="62">
        <f>G127</f>
        <v>175</v>
      </c>
      <c r="AI127" s="62">
        <f t="shared" ref="AI127:AI128" si="47">H127</f>
        <v>389</v>
      </c>
      <c r="AJ127" s="62">
        <f t="shared" ref="AJ127:AJ128" si="48">I127</f>
        <v>0</v>
      </c>
      <c r="AK127" s="62">
        <f t="shared" ref="AK127:AK128" si="49">J127</f>
        <v>564</v>
      </c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</row>
    <row r="128" spans="1:87" ht="17.25" x14ac:dyDescent="0.35">
      <c r="A128" s="3"/>
      <c r="B128" s="3"/>
      <c r="C128" s="3"/>
      <c r="D128" s="3" t="s">
        <v>18</v>
      </c>
      <c r="E128" s="3"/>
      <c r="F128" s="3"/>
      <c r="G128" s="11">
        <f t="shared" si="46"/>
        <v>269</v>
      </c>
      <c r="H128" s="11">
        <f t="shared" si="46"/>
        <v>0</v>
      </c>
      <c r="I128" s="11">
        <f t="shared" si="46"/>
        <v>0</v>
      </c>
      <c r="J128" s="11">
        <f>G128+H128-I128</f>
        <v>269</v>
      </c>
      <c r="K128" s="11">
        <f>+J128-J132</f>
        <v>94</v>
      </c>
      <c r="L128" s="3"/>
      <c r="M128" s="3">
        <v>189</v>
      </c>
      <c r="N128" s="3"/>
      <c r="O128" s="3"/>
      <c r="P128" s="3"/>
      <c r="Q128" s="3"/>
      <c r="R128" s="3" t="s">
        <v>18</v>
      </c>
      <c r="S128" s="3"/>
      <c r="T128" s="3"/>
      <c r="U128" s="11">
        <v>573</v>
      </c>
      <c r="V128" s="11">
        <v>0</v>
      </c>
      <c r="W128" s="11">
        <v>0</v>
      </c>
      <c r="X128" s="11">
        <f>U128+V128-W128</f>
        <v>573</v>
      </c>
      <c r="Y128" s="3"/>
      <c r="Z128" s="3"/>
      <c r="AA128" s="3"/>
      <c r="AB128" s="3"/>
      <c r="AC128" s="3"/>
      <c r="AD128" s="3"/>
      <c r="AE128" s="3" t="s">
        <v>18</v>
      </c>
      <c r="AF128" s="3"/>
      <c r="AG128" s="3"/>
      <c r="AH128" s="11">
        <f>G128</f>
        <v>269</v>
      </c>
      <c r="AI128" s="11">
        <f t="shared" si="47"/>
        <v>0</v>
      </c>
      <c r="AJ128" s="11">
        <f t="shared" si="48"/>
        <v>0</v>
      </c>
      <c r="AK128" s="11">
        <f t="shared" si="49"/>
        <v>269</v>
      </c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</row>
    <row r="129" spans="1:87" ht="17.25" x14ac:dyDescent="0.35">
      <c r="A129" s="3"/>
      <c r="B129" s="3"/>
      <c r="C129" s="3"/>
      <c r="D129" s="3"/>
      <c r="E129" s="3" t="s">
        <v>223</v>
      </c>
      <c r="F129" s="3"/>
      <c r="G129" s="11">
        <f>SUM(G126:G128)</f>
        <v>444</v>
      </c>
      <c r="H129" s="11">
        <f>SUM(H126:H128)</f>
        <v>389</v>
      </c>
      <c r="I129" s="11">
        <f t="shared" ref="I129" si="50">SUM(I126:I128)</f>
        <v>0</v>
      </c>
      <c r="J129" s="11">
        <f t="shared" ref="J129" si="51">SUM(J126:J128)</f>
        <v>833</v>
      </c>
      <c r="K129" s="50">
        <f>SUM(K127:K128)</f>
        <v>470</v>
      </c>
      <c r="L129" s="47" t="str">
        <f>IF(+G129+H129-I129-J129=0,"OK",+G129+H129-I129-J129)</f>
        <v>OK</v>
      </c>
      <c r="M129" s="3">
        <v>585</v>
      </c>
      <c r="N129" s="3"/>
      <c r="O129" s="3"/>
      <c r="P129" s="3"/>
      <c r="Q129" s="3"/>
      <c r="R129" s="3"/>
      <c r="S129" s="3" t="s">
        <v>22</v>
      </c>
      <c r="T129" s="3"/>
      <c r="U129" s="11">
        <f>SUM(U126:U128)</f>
        <v>946</v>
      </c>
      <c r="V129" s="11">
        <f t="shared" ref="V129:X129" si="52">SUM(V126:V128)</f>
        <v>827</v>
      </c>
      <c r="W129" s="11">
        <f t="shared" si="52"/>
        <v>0</v>
      </c>
      <c r="X129" s="11">
        <f t="shared" si="52"/>
        <v>1773</v>
      </c>
      <c r="Y129" s="3"/>
      <c r="Z129" s="47" t="str">
        <f>IF(+U129+V129-W129-X129=0,"OK",+U129+V129-W129-X129)</f>
        <v>OK</v>
      </c>
      <c r="AA129" s="3"/>
      <c r="AB129" s="3"/>
      <c r="AC129" s="3"/>
      <c r="AD129" s="3"/>
      <c r="AE129" s="3"/>
      <c r="AF129" s="3" t="s">
        <v>22</v>
      </c>
      <c r="AG129" s="3"/>
      <c r="AH129" s="11">
        <f>SUM(AH126:AH128)</f>
        <v>444</v>
      </c>
      <c r="AI129" s="11">
        <f>SUM(AI126:AI128)</f>
        <v>389</v>
      </c>
      <c r="AJ129" s="11">
        <f t="shared" ref="AJ129:AK129" si="53">SUM(AJ126:AJ128)</f>
        <v>0</v>
      </c>
      <c r="AK129" s="11">
        <f t="shared" si="53"/>
        <v>833</v>
      </c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</row>
    <row r="130" spans="1:87" x14ac:dyDescent="0.25">
      <c r="A130" s="3"/>
      <c r="B130" s="3"/>
      <c r="C130" s="3" t="s">
        <v>19</v>
      </c>
      <c r="D130" s="3"/>
      <c r="E130" s="3"/>
      <c r="F130" s="3"/>
      <c r="G130" s="10"/>
      <c r="H130" s="10"/>
      <c r="I130" s="10"/>
      <c r="J130" s="10"/>
      <c r="K130" s="3"/>
      <c r="L130" s="3"/>
      <c r="M130" s="3"/>
      <c r="N130" s="3"/>
      <c r="O130" s="3"/>
      <c r="P130" s="3"/>
      <c r="Q130" s="3" t="s">
        <v>19</v>
      </c>
      <c r="R130" s="3"/>
      <c r="S130" s="3"/>
      <c r="T130" s="3"/>
      <c r="U130" s="10"/>
      <c r="V130" s="10"/>
      <c r="W130" s="10"/>
      <c r="X130" s="10"/>
      <c r="Y130" s="3"/>
      <c r="Z130" s="3"/>
      <c r="AA130" s="3"/>
      <c r="AB130" s="3"/>
      <c r="AC130" s="3"/>
      <c r="AD130" s="3" t="s">
        <v>19</v>
      </c>
      <c r="AE130" s="3"/>
      <c r="AF130" s="3"/>
      <c r="AG130" s="3"/>
      <c r="AH130" s="10"/>
      <c r="AI130" s="10"/>
      <c r="AJ130" s="10"/>
      <c r="AK130" s="10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</row>
    <row r="131" spans="1:87" x14ac:dyDescent="0.25">
      <c r="A131" s="3"/>
      <c r="B131" s="3"/>
      <c r="C131" s="3"/>
      <c r="D131" s="3" t="s">
        <v>17</v>
      </c>
      <c r="E131" s="3"/>
      <c r="F131" s="3"/>
      <c r="G131" s="10">
        <f t="shared" ref="G131:I132" si="54">ROUND(U131*$A$125,0)</f>
        <v>0</v>
      </c>
      <c r="H131" s="10">
        <f t="shared" si="54"/>
        <v>188</v>
      </c>
      <c r="I131" s="10">
        <f t="shared" si="54"/>
        <v>0</v>
      </c>
      <c r="J131" s="10">
        <f t="shared" ref="J131:J132" si="55">G131+H131-I131</f>
        <v>188</v>
      </c>
      <c r="K131" s="3"/>
      <c r="L131" s="3"/>
      <c r="M131" s="3">
        <v>132</v>
      </c>
      <c r="N131" s="3"/>
      <c r="O131" s="3"/>
      <c r="P131" s="3"/>
      <c r="Q131" s="3"/>
      <c r="R131" s="3" t="s">
        <v>17</v>
      </c>
      <c r="S131" s="3"/>
      <c r="T131" s="3"/>
      <c r="U131" s="10">
        <v>0</v>
      </c>
      <c r="V131" s="10">
        <v>400</v>
      </c>
      <c r="W131" s="10">
        <v>0</v>
      </c>
      <c r="X131" s="10">
        <f t="shared" ref="X131:X132" si="56">U131+V131-W131</f>
        <v>400</v>
      </c>
      <c r="Y131" s="3"/>
      <c r="Z131" s="3"/>
      <c r="AA131" s="3"/>
      <c r="AB131" s="3"/>
      <c r="AC131" s="3"/>
      <c r="AD131" s="3"/>
      <c r="AE131" s="3" t="s">
        <v>17</v>
      </c>
      <c r="AF131" s="3"/>
      <c r="AG131" s="3"/>
      <c r="AH131" s="10">
        <f>G131</f>
        <v>0</v>
      </c>
      <c r="AI131" s="10">
        <f t="shared" ref="AI131:AI132" si="57">H131</f>
        <v>188</v>
      </c>
      <c r="AJ131" s="10">
        <f t="shared" ref="AJ131:AJ132" si="58">I131</f>
        <v>0</v>
      </c>
      <c r="AK131" s="10">
        <f t="shared" ref="AK131:AK132" si="59">J131</f>
        <v>188</v>
      </c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</row>
    <row r="132" spans="1:87" ht="17.25" x14ac:dyDescent="0.35">
      <c r="A132" s="3"/>
      <c r="B132" s="3"/>
      <c r="C132" s="3"/>
      <c r="D132" s="3" t="s">
        <v>18</v>
      </c>
      <c r="E132" s="3"/>
      <c r="F132" s="3"/>
      <c r="G132" s="11">
        <f t="shared" si="54"/>
        <v>0</v>
      </c>
      <c r="H132" s="11">
        <f t="shared" si="54"/>
        <v>175</v>
      </c>
      <c r="I132" s="11">
        <f t="shared" si="54"/>
        <v>0</v>
      </c>
      <c r="J132" s="11">
        <f t="shared" si="55"/>
        <v>175</v>
      </c>
      <c r="K132" s="3"/>
      <c r="L132" s="3"/>
      <c r="M132" s="3">
        <v>123</v>
      </c>
      <c r="N132" s="3"/>
      <c r="O132" s="3"/>
      <c r="P132" s="3"/>
      <c r="Q132" s="3"/>
      <c r="R132" s="3" t="s">
        <v>18</v>
      </c>
      <c r="S132" s="3"/>
      <c r="T132" s="3"/>
      <c r="U132" s="11">
        <v>0</v>
      </c>
      <c r="V132" s="11">
        <v>373</v>
      </c>
      <c r="W132" s="11">
        <v>0</v>
      </c>
      <c r="X132" s="11">
        <f t="shared" si="56"/>
        <v>373</v>
      </c>
      <c r="Y132" s="3"/>
      <c r="Z132" s="3"/>
      <c r="AA132" s="3"/>
      <c r="AB132" s="3"/>
      <c r="AC132" s="3"/>
      <c r="AD132" s="3"/>
      <c r="AE132" s="3" t="s">
        <v>18</v>
      </c>
      <c r="AF132" s="3"/>
      <c r="AG132" s="3"/>
      <c r="AH132" s="11">
        <f>G132</f>
        <v>0</v>
      </c>
      <c r="AI132" s="11">
        <f t="shared" si="57"/>
        <v>175</v>
      </c>
      <c r="AJ132" s="11">
        <f t="shared" si="58"/>
        <v>0</v>
      </c>
      <c r="AK132" s="11">
        <f t="shared" si="59"/>
        <v>175</v>
      </c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</row>
    <row r="133" spans="1:87" ht="17.25" x14ac:dyDescent="0.35">
      <c r="A133" s="3"/>
      <c r="B133" s="3"/>
      <c r="C133" s="3"/>
      <c r="D133" s="3"/>
      <c r="E133" s="3" t="s">
        <v>23</v>
      </c>
      <c r="F133" s="3"/>
      <c r="G133" s="11">
        <f>SUM(G130:G132)</f>
        <v>0</v>
      </c>
      <c r="H133" s="11">
        <f t="shared" ref="H133" si="60">SUM(H130:H132)</f>
        <v>363</v>
      </c>
      <c r="I133" s="11">
        <f t="shared" ref="I133" si="61">SUM(I130:I132)</f>
        <v>0</v>
      </c>
      <c r="J133" s="11">
        <f t="shared" ref="J133" si="62">SUM(J130:J132)</f>
        <v>363</v>
      </c>
      <c r="K133" s="3"/>
      <c r="L133" s="47" t="str">
        <f>IF(+G133+H133-I133-J133=0,"OK",+G133+H133-I133-J133)</f>
        <v>OK</v>
      </c>
      <c r="M133" s="3">
        <v>255</v>
      </c>
      <c r="N133" s="3"/>
      <c r="O133" s="3"/>
      <c r="P133" s="3"/>
      <c r="Q133" s="3"/>
      <c r="R133" s="3"/>
      <c r="S133" s="3" t="s">
        <v>23</v>
      </c>
      <c r="T133" s="3"/>
      <c r="U133" s="11">
        <f>SUM(U130:U132)</f>
        <v>0</v>
      </c>
      <c r="V133" s="11">
        <f t="shared" ref="V133:X133" si="63">SUM(V130:V132)</f>
        <v>773</v>
      </c>
      <c r="W133" s="11">
        <f t="shared" si="63"/>
        <v>0</v>
      </c>
      <c r="X133" s="11">
        <f t="shared" si="63"/>
        <v>773</v>
      </c>
      <c r="Y133" s="3"/>
      <c r="Z133" s="47" t="str">
        <f>IF(+U133+V133-W133-X133=0,"OK",+U133+V133-W133-X133)</f>
        <v>OK</v>
      </c>
      <c r="AA133" s="3"/>
      <c r="AB133" s="3"/>
      <c r="AC133" s="3"/>
      <c r="AD133" s="3"/>
      <c r="AE133" s="3"/>
      <c r="AF133" s="3" t="s">
        <v>23</v>
      </c>
      <c r="AG133" s="3"/>
      <c r="AH133" s="11">
        <f>SUM(AH130:AH132)</f>
        <v>0</v>
      </c>
      <c r="AI133" s="11">
        <f t="shared" ref="AI133:AK133" si="64">SUM(AI130:AI132)</f>
        <v>363</v>
      </c>
      <c r="AJ133" s="11">
        <f t="shared" si="64"/>
        <v>0</v>
      </c>
      <c r="AK133" s="11">
        <f t="shared" si="64"/>
        <v>363</v>
      </c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</row>
    <row r="134" spans="1:87" ht="17.25" x14ac:dyDescent="0.35">
      <c r="A134" s="3"/>
      <c r="B134" s="3"/>
      <c r="C134" s="3"/>
      <c r="D134" s="3" t="s">
        <v>226</v>
      </c>
      <c r="E134" s="3"/>
      <c r="F134" s="3"/>
      <c r="G134" s="46">
        <f>+G129-G133</f>
        <v>444</v>
      </c>
      <c r="H134" s="11"/>
      <c r="I134" s="11"/>
      <c r="J134" s="46">
        <f>+J129-J133</f>
        <v>470</v>
      </c>
      <c r="K134" s="3"/>
      <c r="L134" s="3"/>
      <c r="M134" s="3">
        <v>330</v>
      </c>
      <c r="N134" s="3"/>
      <c r="O134" s="3"/>
      <c r="P134" s="3"/>
      <c r="Q134" s="3"/>
      <c r="R134" s="3" t="s">
        <v>324</v>
      </c>
      <c r="S134" s="3"/>
      <c r="T134" s="3"/>
      <c r="U134" s="46">
        <f>+U129-U133</f>
        <v>946</v>
      </c>
      <c r="V134" s="11"/>
      <c r="W134" s="11"/>
      <c r="X134" s="46">
        <f>+X129-X133</f>
        <v>1000</v>
      </c>
      <c r="Y134" s="3"/>
      <c r="Z134" s="3"/>
      <c r="AA134" s="3"/>
      <c r="AB134" s="3"/>
      <c r="AC134" s="3"/>
      <c r="AD134" s="3"/>
      <c r="AE134" s="3" t="s">
        <v>324</v>
      </c>
      <c r="AF134" s="3"/>
      <c r="AG134" s="3"/>
      <c r="AH134" s="46">
        <f>+AH129-AH133</f>
        <v>444</v>
      </c>
      <c r="AI134" s="11"/>
      <c r="AJ134" s="11"/>
      <c r="AK134" s="46">
        <f>+AK129-AK133</f>
        <v>470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</row>
    <row r="135" spans="1:87" ht="17.25" x14ac:dyDescent="0.35">
      <c r="A135" s="3"/>
      <c r="B135" s="3"/>
      <c r="C135" s="3"/>
      <c r="D135" s="3"/>
      <c r="E135" s="3" t="s">
        <v>230</v>
      </c>
      <c r="F135" s="3"/>
      <c r="G135" s="15">
        <f>+G123+G134</f>
        <v>8765</v>
      </c>
      <c r="H135" s="10"/>
      <c r="I135" s="10"/>
      <c r="J135" s="15">
        <f>+J123+J134</f>
        <v>11211</v>
      </c>
      <c r="K135" s="3"/>
      <c r="L135" s="3"/>
      <c r="M135" s="3">
        <v>11067</v>
      </c>
      <c r="N135" s="3"/>
      <c r="O135" s="3"/>
      <c r="P135" s="3"/>
      <c r="Q135" s="3"/>
      <c r="R135" s="3"/>
      <c r="S135" s="3" t="s">
        <v>109</v>
      </c>
      <c r="T135" s="3"/>
      <c r="U135" s="15">
        <f>+U123+U134</f>
        <v>26150</v>
      </c>
      <c r="V135" s="10"/>
      <c r="W135" s="10"/>
      <c r="X135" s="15">
        <f>+X123+X134</f>
        <v>33541</v>
      </c>
      <c r="Y135" s="3"/>
      <c r="Z135" s="3"/>
      <c r="AA135" s="3"/>
      <c r="AB135" s="3"/>
      <c r="AC135" s="3"/>
      <c r="AD135" s="3"/>
      <c r="AE135" s="3"/>
      <c r="AF135" s="3" t="s">
        <v>231</v>
      </c>
      <c r="AG135" s="3"/>
      <c r="AH135" s="15">
        <f>+AH123+AH134</f>
        <v>8765</v>
      </c>
      <c r="AI135" s="10"/>
      <c r="AJ135" s="10"/>
      <c r="AK135" s="15">
        <f>+AK123+AK134</f>
        <v>11211</v>
      </c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</row>
    <row r="136" spans="1:87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</row>
    <row r="137" spans="1:87" x14ac:dyDescent="0.25">
      <c r="A137" s="60">
        <v>0.39</v>
      </c>
      <c r="B137" s="3"/>
      <c r="C137" s="44" t="s">
        <v>242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>
        <f>IF(U135-G189=0,"OK",U135-G189)</f>
        <v>-3</v>
      </c>
      <c r="V137" s="3"/>
      <c r="W137" s="3"/>
      <c r="X137" s="3" t="str">
        <f>IF(X135-J189=0,"OK",X135-J189)</f>
        <v>OK</v>
      </c>
      <c r="Y137" s="3"/>
      <c r="Z137" s="3"/>
      <c r="AA137" s="3"/>
      <c r="AB137" s="3"/>
      <c r="AC137" s="3"/>
      <c r="AD137" s="44" t="s">
        <v>242</v>
      </c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</row>
    <row r="138" spans="1:87" x14ac:dyDescent="0.25">
      <c r="A138" s="3"/>
      <c r="B138" s="3"/>
      <c r="C138" s="44" t="s">
        <v>197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90</v>
      </c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</row>
    <row r="139" spans="1:87" x14ac:dyDescent="0.25">
      <c r="A139" s="3"/>
      <c r="B139" s="3"/>
      <c r="C139" s="3" t="s">
        <v>20</v>
      </c>
      <c r="D139" s="3"/>
      <c r="E139" s="3"/>
      <c r="F139" s="3"/>
      <c r="G139" s="3"/>
      <c r="H139" s="45"/>
      <c r="I139" s="45"/>
      <c r="J139" s="45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20</v>
      </c>
      <c r="AE139" s="3"/>
      <c r="AF139" s="3"/>
      <c r="AG139" s="3"/>
      <c r="AH139" s="3"/>
      <c r="AI139" s="45"/>
      <c r="AJ139" s="45"/>
      <c r="AK139" s="45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</row>
    <row r="140" spans="1:87" x14ac:dyDescent="0.25">
      <c r="A140" s="3"/>
      <c r="B140" s="3"/>
      <c r="C140" s="3"/>
      <c r="D140" s="3" t="s">
        <v>17</v>
      </c>
      <c r="E140" s="3"/>
      <c r="F140" s="3"/>
      <c r="G140" s="62">
        <f>ROUND(U114*$A$137,0)</f>
        <v>4706</v>
      </c>
      <c r="H140" s="62">
        <f t="shared" ref="H140:I140" si="65">ROUND(V114*$A$137,0)</f>
        <v>3232</v>
      </c>
      <c r="I140" s="62">
        <f t="shared" si="65"/>
        <v>0</v>
      </c>
      <c r="J140" s="8">
        <f>G140+H140-I140</f>
        <v>7938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 t="s">
        <v>17</v>
      </c>
      <c r="AF140" s="3"/>
      <c r="AG140" s="3"/>
      <c r="AH140" s="62">
        <f>G140</f>
        <v>4706</v>
      </c>
      <c r="AI140" s="62">
        <f t="shared" ref="AI140:AI142" si="66">H140</f>
        <v>3232</v>
      </c>
      <c r="AJ140" s="62">
        <f t="shared" ref="AJ140:AJ142" si="67">I140</f>
        <v>0</v>
      </c>
      <c r="AK140" s="62">
        <f t="shared" ref="AK140:AK142" si="68">J140</f>
        <v>7938</v>
      </c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</row>
    <row r="141" spans="1:87" x14ac:dyDescent="0.25">
      <c r="A141" s="3"/>
      <c r="B141" s="3"/>
      <c r="C141" s="3"/>
      <c r="D141" s="3" t="s">
        <v>31</v>
      </c>
      <c r="E141" s="3"/>
      <c r="F141" s="3"/>
      <c r="G141" s="63">
        <f t="shared" ref="G141:I141" si="69">ROUND(U115*$A$137,0)</f>
        <v>1560</v>
      </c>
      <c r="H141" s="63">
        <f t="shared" si="69"/>
        <v>0</v>
      </c>
      <c r="I141" s="63">
        <f t="shared" si="69"/>
        <v>0</v>
      </c>
      <c r="J141" s="10">
        <f>G141+H141-I141</f>
        <v>1560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 t="s">
        <v>31</v>
      </c>
      <c r="AF141" s="3"/>
      <c r="AG141" s="3"/>
      <c r="AH141" s="10">
        <f>G141</f>
        <v>1560</v>
      </c>
      <c r="AI141" s="10">
        <f t="shared" si="66"/>
        <v>0</v>
      </c>
      <c r="AJ141" s="10">
        <f t="shared" si="67"/>
        <v>0</v>
      </c>
      <c r="AK141" s="10">
        <f t="shared" si="68"/>
        <v>1560</v>
      </c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</row>
    <row r="142" spans="1:87" ht="17.25" x14ac:dyDescent="0.35">
      <c r="A142" s="3"/>
      <c r="B142" s="3"/>
      <c r="C142" s="3"/>
      <c r="D142" s="3" t="s">
        <v>18</v>
      </c>
      <c r="E142" s="3"/>
      <c r="F142" s="3"/>
      <c r="G142" s="64">
        <f>ROUND(U116*$A$137,0)</f>
        <v>3900</v>
      </c>
      <c r="H142" s="64">
        <f t="shared" ref="H142:I142" si="70">ROUND(V116*$A$137,0)</f>
        <v>0</v>
      </c>
      <c r="I142" s="64">
        <f t="shared" si="70"/>
        <v>0</v>
      </c>
      <c r="J142" s="11">
        <f>G142+H142-I142</f>
        <v>3900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 t="s">
        <v>18</v>
      </c>
      <c r="AF142" s="3"/>
      <c r="AG142" s="3"/>
      <c r="AH142" s="11">
        <f>G142</f>
        <v>3900</v>
      </c>
      <c r="AI142" s="11">
        <f t="shared" si="66"/>
        <v>0</v>
      </c>
      <c r="AJ142" s="11">
        <f t="shared" si="67"/>
        <v>0</v>
      </c>
      <c r="AK142" s="11">
        <f t="shared" si="68"/>
        <v>3900</v>
      </c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</row>
    <row r="143" spans="1:87" ht="17.25" x14ac:dyDescent="0.35">
      <c r="A143" s="3"/>
      <c r="B143" s="3"/>
      <c r="C143" s="3"/>
      <c r="D143" s="3"/>
      <c r="E143" s="3" t="s">
        <v>223</v>
      </c>
      <c r="F143" s="3"/>
      <c r="G143" s="11">
        <f>SUM(G140:G142)</f>
        <v>10166</v>
      </c>
      <c r="H143" s="11">
        <f t="shared" ref="H143:J143" si="71">SUM(H140:H142)</f>
        <v>3232</v>
      </c>
      <c r="I143" s="11">
        <f t="shared" si="71"/>
        <v>0</v>
      </c>
      <c r="J143" s="11">
        <f t="shared" si="71"/>
        <v>13398</v>
      </c>
      <c r="K143" s="3"/>
      <c r="L143" s="47" t="str">
        <f>IF(+G143+H143-I143-J143=0,"OK",+G143+H143-I143-J143)</f>
        <v>OK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 t="s">
        <v>22</v>
      </c>
      <c r="AG143" s="3"/>
      <c r="AH143" s="11">
        <f>SUM(AH140:AH142)</f>
        <v>10166</v>
      </c>
      <c r="AI143" s="11">
        <f t="shared" ref="AI143:AJ143" si="72">SUM(AI140:AI142)</f>
        <v>3232</v>
      </c>
      <c r="AJ143" s="11">
        <f t="shared" si="72"/>
        <v>0</v>
      </c>
      <c r="AK143" s="11">
        <f>SUM(AK140:AK142)</f>
        <v>13398</v>
      </c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</row>
    <row r="144" spans="1:87" x14ac:dyDescent="0.25">
      <c r="A144" s="3"/>
      <c r="B144" s="3"/>
      <c r="C144" s="3" t="s">
        <v>19</v>
      </c>
      <c r="D144" s="3"/>
      <c r="E144" s="3"/>
      <c r="F144" s="3"/>
      <c r="G144" s="10"/>
      <c r="H144" s="10"/>
      <c r="I144" s="10"/>
      <c r="J144" s="10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19</v>
      </c>
      <c r="AE144" s="3"/>
      <c r="AF144" s="3"/>
      <c r="AG144" s="3"/>
      <c r="AH144" s="10"/>
      <c r="AI144" s="10"/>
      <c r="AJ144" s="10"/>
      <c r="AK144" s="10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</row>
    <row r="145" spans="1:87" x14ac:dyDescent="0.25">
      <c r="A145" s="3"/>
      <c r="B145" s="3"/>
      <c r="C145" s="3"/>
      <c r="D145" s="3" t="s">
        <v>17</v>
      </c>
      <c r="E145" s="3"/>
      <c r="F145" s="3"/>
      <c r="G145" s="63">
        <f>ROUND(U119*$A$137,0)</f>
        <v>141</v>
      </c>
      <c r="H145" s="63">
        <f t="shared" ref="H145:H147" si="73">ROUND(V119*$A$137,0)</f>
        <v>176</v>
      </c>
      <c r="I145" s="63">
        <f t="shared" ref="I145:I147" si="74">ROUND(W119*$A$137,0)</f>
        <v>0</v>
      </c>
      <c r="J145" s="10">
        <f t="shared" ref="J145:J147" si="75">G145+H145-I145</f>
        <v>317</v>
      </c>
      <c r="K145" s="3"/>
      <c r="L145" s="10">
        <f>+J140-J145</f>
        <v>7621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 t="s">
        <v>17</v>
      </c>
      <c r="AF145" s="3"/>
      <c r="AG145" s="3"/>
      <c r="AH145" s="62">
        <f>G145</f>
        <v>141</v>
      </c>
      <c r="AI145" s="62">
        <f t="shared" ref="AI145:AI147" si="76">H145</f>
        <v>176</v>
      </c>
      <c r="AJ145" s="62">
        <f t="shared" ref="AJ145:AJ147" si="77">I145</f>
        <v>0</v>
      </c>
      <c r="AK145" s="62">
        <f t="shared" ref="AK145:AK147" si="78">J145</f>
        <v>317</v>
      </c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</row>
    <row r="146" spans="1:87" x14ac:dyDescent="0.25">
      <c r="A146" s="3"/>
      <c r="B146" s="3"/>
      <c r="C146" s="3"/>
      <c r="D146" s="3" t="s">
        <v>31</v>
      </c>
      <c r="E146" s="3"/>
      <c r="F146" s="3"/>
      <c r="G146" s="63">
        <f t="shared" ref="G146:G147" si="79">ROUND(U120*$A$137,0)</f>
        <v>98</v>
      </c>
      <c r="H146" s="63">
        <f t="shared" si="73"/>
        <v>98</v>
      </c>
      <c r="I146" s="63">
        <f t="shared" si="74"/>
        <v>0</v>
      </c>
      <c r="J146" s="10">
        <f t="shared" si="75"/>
        <v>196</v>
      </c>
      <c r="K146" s="3"/>
      <c r="L146" s="10">
        <f t="shared" ref="L146:L147" si="80">+J141-J146</f>
        <v>1364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 t="s">
        <v>31</v>
      </c>
      <c r="AF146" s="3"/>
      <c r="AG146" s="3"/>
      <c r="AH146" s="10">
        <f>G146</f>
        <v>98</v>
      </c>
      <c r="AI146" s="10">
        <f t="shared" si="76"/>
        <v>98</v>
      </c>
      <c r="AJ146" s="10">
        <f t="shared" si="77"/>
        <v>0</v>
      </c>
      <c r="AK146" s="10">
        <f t="shared" si="78"/>
        <v>196</v>
      </c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</row>
    <row r="147" spans="1:87" ht="17.25" x14ac:dyDescent="0.35">
      <c r="A147" s="3"/>
      <c r="B147" s="3"/>
      <c r="C147" s="3"/>
      <c r="D147" s="3" t="s">
        <v>18</v>
      </c>
      <c r="E147" s="3"/>
      <c r="F147" s="3"/>
      <c r="G147" s="64">
        <f t="shared" si="79"/>
        <v>98</v>
      </c>
      <c r="H147" s="64">
        <f t="shared" si="73"/>
        <v>98</v>
      </c>
      <c r="I147" s="64">
        <f t="shared" si="74"/>
        <v>0</v>
      </c>
      <c r="J147" s="11">
        <f t="shared" si="75"/>
        <v>196</v>
      </c>
      <c r="K147" s="3"/>
      <c r="L147" s="10">
        <f t="shared" si="80"/>
        <v>3704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 t="s">
        <v>18</v>
      </c>
      <c r="AF147" s="3"/>
      <c r="AG147" s="3"/>
      <c r="AH147" s="11">
        <f>G147</f>
        <v>98</v>
      </c>
      <c r="AI147" s="11">
        <f t="shared" si="76"/>
        <v>98</v>
      </c>
      <c r="AJ147" s="11">
        <f t="shared" si="77"/>
        <v>0</v>
      </c>
      <c r="AK147" s="11">
        <f t="shared" si="78"/>
        <v>196</v>
      </c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</row>
    <row r="148" spans="1:87" ht="17.25" x14ac:dyDescent="0.35">
      <c r="A148" s="3"/>
      <c r="B148" s="3"/>
      <c r="C148" s="3"/>
      <c r="D148" s="3"/>
      <c r="E148" s="3" t="s">
        <v>23</v>
      </c>
      <c r="F148" s="3"/>
      <c r="G148" s="11">
        <f>SUM(G145:G147)</f>
        <v>337</v>
      </c>
      <c r="H148" s="11">
        <f t="shared" ref="H148:J148" si="81">SUM(H145:H147)</f>
        <v>372</v>
      </c>
      <c r="I148" s="11">
        <f t="shared" si="81"/>
        <v>0</v>
      </c>
      <c r="J148" s="11">
        <f t="shared" si="81"/>
        <v>709</v>
      </c>
      <c r="K148" s="3"/>
      <c r="L148" s="47">
        <f>SUM(L145:L147)</f>
        <v>12689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 t="s">
        <v>23</v>
      </c>
      <c r="AG148" s="3"/>
      <c r="AH148" s="11">
        <f>SUM(AH145:AH147)</f>
        <v>337</v>
      </c>
      <c r="AI148" s="11">
        <f t="shared" ref="AI148:AK148" si="82">SUM(AI145:AI147)</f>
        <v>372</v>
      </c>
      <c r="AJ148" s="11">
        <f t="shared" si="82"/>
        <v>0</v>
      </c>
      <c r="AK148" s="11">
        <f t="shared" si="82"/>
        <v>709</v>
      </c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</row>
    <row r="149" spans="1:87" ht="17.25" x14ac:dyDescent="0.35">
      <c r="A149" s="3"/>
      <c r="B149" s="3"/>
      <c r="C149" s="3"/>
      <c r="D149" s="3" t="s">
        <v>226</v>
      </c>
      <c r="E149" s="3"/>
      <c r="F149" s="3"/>
      <c r="G149" s="46">
        <f>G143-G148</f>
        <v>9829</v>
      </c>
      <c r="H149" s="11"/>
      <c r="I149" s="11"/>
      <c r="J149" s="46">
        <f>J143-J148</f>
        <v>12689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 t="s">
        <v>108</v>
      </c>
      <c r="AF149" s="3"/>
      <c r="AG149" s="3"/>
      <c r="AH149" s="46">
        <f>AH143-AH148</f>
        <v>9829</v>
      </c>
      <c r="AI149" s="11"/>
      <c r="AJ149" s="11"/>
      <c r="AK149" s="46">
        <f>AK143-AK148</f>
        <v>12689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</row>
    <row r="150" spans="1:87" ht="5.0999999999999996" customHeight="1" x14ac:dyDescent="0.25">
      <c r="A150" s="3"/>
      <c r="B150" s="3"/>
      <c r="C150" s="3"/>
      <c r="D150" s="3"/>
      <c r="E150" s="3"/>
      <c r="F150" s="3"/>
      <c r="G150" s="10"/>
      <c r="H150" s="10"/>
      <c r="I150" s="10"/>
      <c r="J150" s="10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10"/>
      <c r="AI150" s="10"/>
      <c r="AJ150" s="10"/>
      <c r="AK150" s="10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</row>
    <row r="151" spans="1:87" x14ac:dyDescent="0.25">
      <c r="A151" s="3"/>
      <c r="B151" s="3"/>
      <c r="C151" s="44" t="s">
        <v>242</v>
      </c>
      <c r="D151" s="3"/>
      <c r="E151" s="3"/>
      <c r="F151" s="3"/>
      <c r="G151" s="10"/>
      <c r="H151" s="10"/>
      <c r="I151" s="10"/>
      <c r="J151" s="10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10"/>
      <c r="AI151" s="10"/>
      <c r="AJ151" s="10"/>
      <c r="AK151" s="10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</row>
    <row r="152" spans="1:87" x14ac:dyDescent="0.25">
      <c r="A152" s="60">
        <v>0.53</v>
      </c>
      <c r="B152" s="3"/>
      <c r="C152" s="44" t="s">
        <v>322</v>
      </c>
      <c r="D152" s="3"/>
      <c r="E152" s="3"/>
      <c r="F152" s="3"/>
      <c r="G152" s="10"/>
      <c r="H152" s="10"/>
      <c r="I152" s="10"/>
      <c r="J152" s="10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323</v>
      </c>
      <c r="AE152" s="3"/>
      <c r="AF152" s="3"/>
      <c r="AG152" s="3"/>
      <c r="AH152" s="10"/>
      <c r="AI152" s="10"/>
      <c r="AJ152" s="10"/>
      <c r="AK152" s="10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</row>
    <row r="153" spans="1:87" ht="17.25" x14ac:dyDescent="0.35">
      <c r="A153" s="3"/>
      <c r="B153" s="3"/>
      <c r="C153" s="3" t="s">
        <v>20</v>
      </c>
      <c r="D153" s="3"/>
      <c r="E153" s="3"/>
      <c r="F153" s="3"/>
      <c r="G153" s="10"/>
      <c r="H153" s="10"/>
      <c r="I153" s="10"/>
      <c r="J153" s="10"/>
      <c r="K153" s="100" t="s">
        <v>46</v>
      </c>
      <c r="L153" s="3"/>
      <c r="M153" s="3">
        <v>468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20</v>
      </c>
      <c r="AE153" s="3"/>
      <c r="AF153" s="3"/>
      <c r="AG153" s="3"/>
      <c r="AH153" s="10"/>
      <c r="AI153" s="10"/>
      <c r="AJ153" s="10"/>
      <c r="AK153" s="10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</row>
    <row r="154" spans="1:87" x14ac:dyDescent="0.25">
      <c r="A154" s="3"/>
      <c r="B154" s="3"/>
      <c r="C154" s="3"/>
      <c r="D154" s="3" t="s">
        <v>17</v>
      </c>
      <c r="E154" s="3"/>
      <c r="F154" s="3"/>
      <c r="G154" s="62">
        <f t="shared" ref="G154:I155" si="83">ROUND(U127*$A$152,0)</f>
        <v>198</v>
      </c>
      <c r="H154" s="62">
        <f t="shared" si="83"/>
        <v>438</v>
      </c>
      <c r="I154" s="62">
        <f t="shared" si="83"/>
        <v>0</v>
      </c>
      <c r="J154" s="8">
        <f>G154+H154-I154</f>
        <v>636</v>
      </c>
      <c r="K154" s="10">
        <f>+J154-J158</f>
        <v>424</v>
      </c>
      <c r="L154" s="3"/>
      <c r="M154" s="3">
        <v>223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 t="s">
        <v>17</v>
      </c>
      <c r="AF154" s="3"/>
      <c r="AG154" s="3"/>
      <c r="AH154" s="62">
        <f>G154</f>
        <v>198</v>
      </c>
      <c r="AI154" s="62">
        <f t="shared" ref="AI154:AI155" si="84">H154</f>
        <v>438</v>
      </c>
      <c r="AJ154" s="62">
        <f t="shared" ref="AJ154:AJ155" si="85">I154</f>
        <v>0</v>
      </c>
      <c r="AK154" s="62">
        <f t="shared" ref="AK154:AK155" si="86">J154</f>
        <v>636</v>
      </c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</row>
    <row r="155" spans="1:87" ht="17.25" x14ac:dyDescent="0.35">
      <c r="A155" s="3"/>
      <c r="B155" s="3"/>
      <c r="C155" s="3"/>
      <c r="D155" s="3" t="s">
        <v>18</v>
      </c>
      <c r="E155" s="3"/>
      <c r="F155" s="3"/>
      <c r="G155" s="64">
        <f t="shared" si="83"/>
        <v>304</v>
      </c>
      <c r="H155" s="64">
        <f t="shared" si="83"/>
        <v>0</v>
      </c>
      <c r="I155" s="64">
        <f t="shared" si="83"/>
        <v>0</v>
      </c>
      <c r="J155" s="11">
        <f>G155+H155-I155</f>
        <v>304</v>
      </c>
      <c r="K155" s="11">
        <f>+J155-J159</f>
        <v>106</v>
      </c>
      <c r="L155" s="3"/>
      <c r="M155" s="3">
        <v>691</v>
      </c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 t="s">
        <v>18</v>
      </c>
      <c r="AF155" s="3"/>
      <c r="AG155" s="3"/>
      <c r="AH155" s="11">
        <f>G155</f>
        <v>304</v>
      </c>
      <c r="AI155" s="11">
        <f t="shared" si="84"/>
        <v>0</v>
      </c>
      <c r="AJ155" s="11">
        <f t="shared" si="85"/>
        <v>0</v>
      </c>
      <c r="AK155" s="11">
        <f t="shared" si="86"/>
        <v>304</v>
      </c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</row>
    <row r="156" spans="1:87" ht="17.25" x14ac:dyDescent="0.35">
      <c r="A156" s="3"/>
      <c r="B156" s="3"/>
      <c r="C156" s="3"/>
      <c r="D156" s="3"/>
      <c r="E156" s="3" t="s">
        <v>223</v>
      </c>
      <c r="F156" s="3"/>
      <c r="G156" s="11">
        <f>SUM(G153:G155)</f>
        <v>502</v>
      </c>
      <c r="H156" s="11">
        <f t="shared" ref="H156:J156" si="87">SUM(H153:H155)</f>
        <v>438</v>
      </c>
      <c r="I156" s="11">
        <f t="shared" si="87"/>
        <v>0</v>
      </c>
      <c r="J156" s="11">
        <f t="shared" si="87"/>
        <v>940</v>
      </c>
      <c r="K156" s="50">
        <f>SUM(K154:K155)</f>
        <v>530</v>
      </c>
      <c r="L156" s="47" t="str">
        <f>IF(+G156+H156-I156-J156=0,"OK",+G156+H156-I156-J156)</f>
        <v>OK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 t="s">
        <v>22</v>
      </c>
      <c r="AG156" s="3"/>
      <c r="AH156" s="11">
        <f>SUM(AH153:AH155)</f>
        <v>502</v>
      </c>
      <c r="AI156" s="11">
        <f>SUM(AI153:AI155)</f>
        <v>438</v>
      </c>
      <c r="AJ156" s="11">
        <f t="shared" ref="AJ156:AK156" si="88">SUM(AJ153:AJ155)</f>
        <v>0</v>
      </c>
      <c r="AK156" s="11">
        <f t="shared" si="88"/>
        <v>940</v>
      </c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</row>
    <row r="157" spans="1:87" x14ac:dyDescent="0.25">
      <c r="A157" s="3"/>
      <c r="B157" s="3"/>
      <c r="C157" s="3" t="s">
        <v>19</v>
      </c>
      <c r="D157" s="3"/>
      <c r="E157" s="3"/>
      <c r="F157" s="3"/>
      <c r="G157" s="10"/>
      <c r="H157" s="10"/>
      <c r="I157" s="10"/>
      <c r="J157" s="10"/>
      <c r="K157" s="3"/>
      <c r="L157" s="3"/>
      <c r="M157" s="3">
        <v>156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19</v>
      </c>
      <c r="AE157" s="3"/>
      <c r="AF157" s="3"/>
      <c r="AG157" s="3"/>
      <c r="AH157" s="10"/>
      <c r="AI157" s="10"/>
      <c r="AJ157" s="10"/>
      <c r="AK157" s="10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</row>
    <row r="158" spans="1:87" x14ac:dyDescent="0.25">
      <c r="A158" s="3"/>
      <c r="B158" s="3"/>
      <c r="C158" s="3"/>
      <c r="D158" s="3" t="s">
        <v>17</v>
      </c>
      <c r="E158" s="3"/>
      <c r="F158" s="3"/>
      <c r="G158" s="63">
        <f t="shared" ref="G158:I159" si="89">ROUND(U131*$A$152,0)</f>
        <v>0</v>
      </c>
      <c r="H158" s="63">
        <f t="shared" si="89"/>
        <v>212</v>
      </c>
      <c r="I158" s="63">
        <f t="shared" si="89"/>
        <v>0</v>
      </c>
      <c r="J158" s="10">
        <f t="shared" ref="J158:J159" si="90">G158+H158-I158</f>
        <v>212</v>
      </c>
      <c r="K158" s="3"/>
      <c r="L158" s="3"/>
      <c r="M158" s="3">
        <v>145</v>
      </c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 t="s">
        <v>17</v>
      </c>
      <c r="AF158" s="3"/>
      <c r="AG158" s="3"/>
      <c r="AH158" s="10">
        <f>G158</f>
        <v>0</v>
      </c>
      <c r="AI158" s="10">
        <f t="shared" ref="AI158:AI159" si="91">H158</f>
        <v>212</v>
      </c>
      <c r="AJ158" s="10">
        <f t="shared" ref="AJ158:AJ159" si="92">I158</f>
        <v>0</v>
      </c>
      <c r="AK158" s="10">
        <f t="shared" ref="AK158:AK159" si="93">J158</f>
        <v>212</v>
      </c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</row>
    <row r="159" spans="1:87" ht="17.25" x14ac:dyDescent="0.35">
      <c r="A159" s="3"/>
      <c r="B159" s="3"/>
      <c r="C159" s="3"/>
      <c r="D159" s="3" t="s">
        <v>18</v>
      </c>
      <c r="E159" s="3"/>
      <c r="F159" s="3"/>
      <c r="G159" s="64">
        <f t="shared" si="89"/>
        <v>0</v>
      </c>
      <c r="H159" s="64">
        <f t="shared" si="89"/>
        <v>198</v>
      </c>
      <c r="I159" s="64">
        <f t="shared" si="89"/>
        <v>0</v>
      </c>
      <c r="J159" s="11">
        <f t="shared" si="90"/>
        <v>198</v>
      </c>
      <c r="K159" s="3"/>
      <c r="L159" s="3"/>
      <c r="M159" s="3">
        <v>301</v>
      </c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 t="s">
        <v>18</v>
      </c>
      <c r="AF159" s="3"/>
      <c r="AG159" s="3"/>
      <c r="AH159" s="11">
        <f>G159</f>
        <v>0</v>
      </c>
      <c r="AI159" s="11">
        <f t="shared" si="91"/>
        <v>198</v>
      </c>
      <c r="AJ159" s="11">
        <f t="shared" si="92"/>
        <v>0</v>
      </c>
      <c r="AK159" s="11">
        <f t="shared" si="93"/>
        <v>198</v>
      </c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</row>
    <row r="160" spans="1:87" ht="17.25" x14ac:dyDescent="0.35">
      <c r="A160" s="3"/>
      <c r="B160" s="3"/>
      <c r="C160" s="3"/>
      <c r="D160" s="3"/>
      <c r="E160" s="3" t="s">
        <v>23</v>
      </c>
      <c r="F160" s="3"/>
      <c r="G160" s="11">
        <f>SUM(G157:G159)</f>
        <v>0</v>
      </c>
      <c r="H160" s="11">
        <f t="shared" ref="H160:J160" si="94">SUM(H157:H159)</f>
        <v>410</v>
      </c>
      <c r="I160" s="11">
        <f t="shared" si="94"/>
        <v>0</v>
      </c>
      <c r="J160" s="11">
        <f t="shared" si="94"/>
        <v>410</v>
      </c>
      <c r="K160" s="3"/>
      <c r="L160" s="47" t="str">
        <f>IF(+G160+H160-I160-J160=0,"OK",+G160+H160-I160-J160)</f>
        <v>OK</v>
      </c>
      <c r="M160" s="3">
        <v>390</v>
      </c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 t="s">
        <v>23</v>
      </c>
      <c r="AG160" s="3"/>
      <c r="AH160" s="11">
        <f>SUM(AH157:AH159)</f>
        <v>0</v>
      </c>
      <c r="AI160" s="11">
        <f t="shared" ref="AI160:AK160" si="95">SUM(AI157:AI159)</f>
        <v>410</v>
      </c>
      <c r="AJ160" s="11">
        <f t="shared" si="95"/>
        <v>0</v>
      </c>
      <c r="AK160" s="11">
        <f t="shared" si="95"/>
        <v>410</v>
      </c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</row>
    <row r="161" spans="1:87" ht="17.25" x14ac:dyDescent="0.35">
      <c r="A161" s="3"/>
      <c r="B161" s="3"/>
      <c r="C161" s="3"/>
      <c r="D161" s="3" t="s">
        <v>232</v>
      </c>
      <c r="E161" s="3"/>
      <c r="F161" s="3"/>
      <c r="G161" s="46">
        <f>+G156-G160</f>
        <v>502</v>
      </c>
      <c r="H161" s="11"/>
      <c r="I161" s="11"/>
      <c r="J161" s="46">
        <f>+J156-J160</f>
        <v>530</v>
      </c>
      <c r="K161" s="3"/>
      <c r="L161" s="3"/>
      <c r="M161" s="3">
        <v>13079</v>
      </c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 t="s">
        <v>324</v>
      </c>
      <c r="AF161" s="3"/>
      <c r="AG161" s="3"/>
      <c r="AH161" s="46">
        <f>+AH156-AH160</f>
        <v>502</v>
      </c>
      <c r="AI161" s="11"/>
      <c r="AJ161" s="11"/>
      <c r="AK161" s="46">
        <f>+AK156-AK160</f>
        <v>530</v>
      </c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</row>
    <row r="162" spans="1:87" ht="17.25" x14ac:dyDescent="0.35">
      <c r="A162" s="3"/>
      <c r="B162" s="3"/>
      <c r="C162" s="3"/>
      <c r="D162" s="3"/>
      <c r="E162" s="3" t="s">
        <v>234</v>
      </c>
      <c r="F162" s="3"/>
      <c r="G162" s="15">
        <f>+G149+G161</f>
        <v>10331</v>
      </c>
      <c r="H162" s="10"/>
      <c r="I162" s="10"/>
      <c r="J162" s="15">
        <f>+J149+J161</f>
        <v>13219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 t="s">
        <v>235</v>
      </c>
      <c r="AG162" s="3"/>
      <c r="AH162" s="15">
        <f>+AH149+AH161</f>
        <v>10331</v>
      </c>
      <c r="AI162" s="10"/>
      <c r="AJ162" s="10"/>
      <c r="AK162" s="15">
        <f>+AK149+AK161</f>
        <v>13219</v>
      </c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</row>
    <row r="163" spans="1:87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</row>
    <row r="164" spans="1:87" x14ac:dyDescent="0.25">
      <c r="A164" s="60">
        <v>0.28000000000000003</v>
      </c>
      <c r="B164" s="3"/>
      <c r="C164" s="44" t="s">
        <v>243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44" t="s">
        <v>243</v>
      </c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</row>
    <row r="165" spans="1:87" x14ac:dyDescent="0.25">
      <c r="A165" s="3"/>
      <c r="B165" s="3"/>
      <c r="C165" s="44" t="s">
        <v>197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90</v>
      </c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</row>
    <row r="166" spans="1:87" x14ac:dyDescent="0.25">
      <c r="A166" s="3"/>
      <c r="B166" s="3"/>
      <c r="C166" s="3" t="s">
        <v>20</v>
      </c>
      <c r="D166" s="3"/>
      <c r="E166" s="3"/>
      <c r="F166" s="3"/>
      <c r="G166" s="3"/>
      <c r="H166" s="45"/>
      <c r="I166" s="45"/>
      <c r="J166" s="45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20</v>
      </c>
      <c r="AE166" s="3"/>
      <c r="AF166" s="3"/>
      <c r="AG166" s="3"/>
      <c r="AH166" s="3"/>
      <c r="AI166" s="45"/>
      <c r="AJ166" s="45"/>
      <c r="AK166" s="45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</row>
    <row r="167" spans="1:87" x14ac:dyDescent="0.25">
      <c r="A167" s="3"/>
      <c r="B167" s="3"/>
      <c r="C167" s="3"/>
      <c r="D167" s="3" t="s">
        <v>17</v>
      </c>
      <c r="E167" s="3"/>
      <c r="F167" s="3"/>
      <c r="G167" s="62">
        <f>ROUND(U114*$A$164,0)</f>
        <v>3378</v>
      </c>
      <c r="H167" s="62">
        <f t="shared" ref="H167:I167" si="96">ROUND(V114*$A$164,0)</f>
        <v>2320</v>
      </c>
      <c r="I167" s="62">
        <f t="shared" si="96"/>
        <v>0</v>
      </c>
      <c r="J167" s="8">
        <f>G167+H167-I167</f>
        <v>5698</v>
      </c>
      <c r="K167" s="3"/>
      <c r="L167" s="3"/>
      <c r="M167" s="3">
        <v>5698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 t="s">
        <v>17</v>
      </c>
      <c r="AF167" s="3"/>
      <c r="AG167" s="3"/>
      <c r="AH167" s="62">
        <f>G167</f>
        <v>3378</v>
      </c>
      <c r="AI167" s="62">
        <f t="shared" ref="AI167:AI169" si="97">H167</f>
        <v>2320</v>
      </c>
      <c r="AJ167" s="62">
        <f t="shared" ref="AJ167:AJ169" si="98">I167</f>
        <v>0</v>
      </c>
      <c r="AK167" s="62">
        <f t="shared" ref="AK167:AK169" si="99">J167</f>
        <v>5698</v>
      </c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</row>
    <row r="168" spans="1:87" x14ac:dyDescent="0.25">
      <c r="A168" s="3"/>
      <c r="B168" s="3"/>
      <c r="C168" s="3"/>
      <c r="D168" s="3" t="s">
        <v>31</v>
      </c>
      <c r="E168" s="3"/>
      <c r="F168" s="3"/>
      <c r="G168" s="63">
        <f t="shared" ref="G168:I168" si="100">ROUND(U115*$A$164,0)</f>
        <v>1120</v>
      </c>
      <c r="H168" s="63">
        <f t="shared" si="100"/>
        <v>0</v>
      </c>
      <c r="I168" s="63">
        <f t="shared" si="100"/>
        <v>0</v>
      </c>
      <c r="J168" s="10">
        <f>G168+H168-I168</f>
        <v>1120</v>
      </c>
      <c r="K168" s="3"/>
      <c r="L168" s="3"/>
      <c r="M168" s="3">
        <v>1120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 t="s">
        <v>31</v>
      </c>
      <c r="AF168" s="3"/>
      <c r="AG168" s="3"/>
      <c r="AH168" s="10">
        <f>G168</f>
        <v>1120</v>
      </c>
      <c r="AI168" s="10">
        <f t="shared" si="97"/>
        <v>0</v>
      </c>
      <c r="AJ168" s="10">
        <f t="shared" si="98"/>
        <v>0</v>
      </c>
      <c r="AK168" s="10">
        <f t="shared" si="99"/>
        <v>1120</v>
      </c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</row>
    <row r="169" spans="1:87" ht="17.25" x14ac:dyDescent="0.35">
      <c r="A169" s="3"/>
      <c r="B169" s="3"/>
      <c r="C169" s="3"/>
      <c r="D169" s="3" t="s">
        <v>18</v>
      </c>
      <c r="E169" s="3"/>
      <c r="F169" s="3"/>
      <c r="G169" s="64">
        <f t="shared" ref="G169:I169" si="101">ROUND(U116*$A$164,0)</f>
        <v>2800</v>
      </c>
      <c r="H169" s="64">
        <f t="shared" si="101"/>
        <v>0</v>
      </c>
      <c r="I169" s="64">
        <f t="shared" si="101"/>
        <v>0</v>
      </c>
      <c r="J169" s="11">
        <f>G169+H169-I169</f>
        <v>2800</v>
      </c>
      <c r="K169" s="3"/>
      <c r="L169" s="3"/>
      <c r="M169" s="3">
        <v>2800</v>
      </c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 t="s">
        <v>18</v>
      </c>
      <c r="AF169" s="3"/>
      <c r="AG169" s="3"/>
      <c r="AH169" s="11">
        <f>G169</f>
        <v>2800</v>
      </c>
      <c r="AI169" s="11">
        <f t="shared" si="97"/>
        <v>0</v>
      </c>
      <c r="AJ169" s="11">
        <f t="shared" si="98"/>
        <v>0</v>
      </c>
      <c r="AK169" s="11">
        <f t="shared" si="99"/>
        <v>2800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</row>
    <row r="170" spans="1:87" ht="17.25" x14ac:dyDescent="0.35">
      <c r="A170" s="3"/>
      <c r="B170" s="3"/>
      <c r="C170" s="3"/>
      <c r="D170" s="3"/>
      <c r="E170" s="3" t="s">
        <v>223</v>
      </c>
      <c r="F170" s="3"/>
      <c r="G170" s="11">
        <f>SUM(G167:G169)</f>
        <v>7298</v>
      </c>
      <c r="H170" s="11">
        <f t="shared" ref="H170:J170" si="102">SUM(H167:H169)</f>
        <v>2320</v>
      </c>
      <c r="I170" s="11">
        <f t="shared" si="102"/>
        <v>0</v>
      </c>
      <c r="J170" s="11">
        <f t="shared" si="102"/>
        <v>9618</v>
      </c>
      <c r="K170" s="3"/>
      <c r="L170" s="47" t="str">
        <f>IF(+G170+H170-I170-J170=0,"OK",+G170+H170-I170-J170)</f>
        <v>OK</v>
      </c>
      <c r="M170" s="3">
        <v>9618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 t="s">
        <v>22</v>
      </c>
      <c r="AG170" s="3"/>
      <c r="AH170" s="11">
        <f>SUM(AH167:AH169)</f>
        <v>7298</v>
      </c>
      <c r="AI170" s="11">
        <f t="shared" ref="AI170:AJ170" si="103">SUM(AI167:AI169)</f>
        <v>2320</v>
      </c>
      <c r="AJ170" s="11">
        <f t="shared" si="103"/>
        <v>0</v>
      </c>
      <c r="AK170" s="11">
        <f>SUM(AK167:AK169)</f>
        <v>9618</v>
      </c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</row>
    <row r="171" spans="1:87" x14ac:dyDescent="0.25">
      <c r="A171" s="3"/>
      <c r="B171" s="3"/>
      <c r="C171" s="3" t="s">
        <v>19</v>
      </c>
      <c r="D171" s="3"/>
      <c r="E171" s="3"/>
      <c r="F171" s="3"/>
      <c r="G171" s="10"/>
      <c r="H171" s="10"/>
      <c r="I171" s="10"/>
      <c r="J171" s="10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19</v>
      </c>
      <c r="AE171" s="3"/>
      <c r="AF171" s="3"/>
      <c r="AG171" s="3"/>
      <c r="AH171" s="10"/>
      <c r="AI171" s="10"/>
      <c r="AJ171" s="10"/>
      <c r="AK171" s="10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</row>
    <row r="172" spans="1:87" x14ac:dyDescent="0.25">
      <c r="A172" s="3"/>
      <c r="B172" s="3"/>
      <c r="C172" s="3"/>
      <c r="D172" s="3" t="s">
        <v>17</v>
      </c>
      <c r="E172" s="3"/>
      <c r="F172" s="3"/>
      <c r="G172" s="63">
        <f t="shared" ref="G172:I174" si="104">ROUND(U119*$A$164,0)</f>
        <v>101</v>
      </c>
      <c r="H172" s="63">
        <f t="shared" si="104"/>
        <v>126</v>
      </c>
      <c r="I172" s="63">
        <f t="shared" si="104"/>
        <v>0</v>
      </c>
      <c r="J172" s="10">
        <f t="shared" ref="J172:J174" si="105">G172+H172-I172</f>
        <v>227</v>
      </c>
      <c r="K172" s="3"/>
      <c r="L172" s="10">
        <f>+J167-J172</f>
        <v>5471</v>
      </c>
      <c r="M172" s="3">
        <v>227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 t="s">
        <v>17</v>
      </c>
      <c r="AF172" s="3"/>
      <c r="AG172" s="3"/>
      <c r="AH172" s="62">
        <f>G172</f>
        <v>101</v>
      </c>
      <c r="AI172" s="62">
        <f t="shared" ref="AI172:AI174" si="106">H172</f>
        <v>126</v>
      </c>
      <c r="AJ172" s="62">
        <f t="shared" ref="AJ172:AJ174" si="107">I172</f>
        <v>0</v>
      </c>
      <c r="AK172" s="62">
        <f t="shared" ref="AK172:AK174" si="108">J172</f>
        <v>227</v>
      </c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</row>
    <row r="173" spans="1:87" x14ac:dyDescent="0.25">
      <c r="A173" s="3"/>
      <c r="B173" s="3"/>
      <c r="C173" s="3"/>
      <c r="D173" s="3" t="s">
        <v>31</v>
      </c>
      <c r="E173" s="3"/>
      <c r="F173" s="3"/>
      <c r="G173" s="63">
        <f t="shared" si="104"/>
        <v>70</v>
      </c>
      <c r="H173" s="63">
        <f t="shared" si="104"/>
        <v>70</v>
      </c>
      <c r="I173" s="63">
        <f t="shared" si="104"/>
        <v>0</v>
      </c>
      <c r="J173" s="10">
        <f t="shared" si="105"/>
        <v>140</v>
      </c>
      <c r="K173" s="3"/>
      <c r="L173" s="10">
        <f t="shared" ref="L173:L174" si="109">+J168-J173</f>
        <v>980</v>
      </c>
      <c r="M173" s="3">
        <v>140</v>
      </c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 t="s">
        <v>31</v>
      </c>
      <c r="AF173" s="3"/>
      <c r="AG173" s="3"/>
      <c r="AH173" s="10">
        <f>G173</f>
        <v>70</v>
      </c>
      <c r="AI173" s="10">
        <f t="shared" si="106"/>
        <v>70</v>
      </c>
      <c r="AJ173" s="10">
        <f t="shared" si="107"/>
        <v>0</v>
      </c>
      <c r="AK173" s="10">
        <f t="shared" si="108"/>
        <v>140</v>
      </c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</row>
    <row r="174" spans="1:87" ht="17.25" x14ac:dyDescent="0.35">
      <c r="A174" s="3"/>
      <c r="B174" s="3"/>
      <c r="C174" s="3"/>
      <c r="D174" s="3" t="s">
        <v>18</v>
      </c>
      <c r="E174" s="3"/>
      <c r="F174" s="3"/>
      <c r="G174" s="64">
        <f t="shared" si="104"/>
        <v>70</v>
      </c>
      <c r="H174" s="64">
        <f t="shared" si="104"/>
        <v>70</v>
      </c>
      <c r="I174" s="64">
        <f t="shared" si="104"/>
        <v>0</v>
      </c>
      <c r="J174" s="11">
        <f t="shared" si="105"/>
        <v>140</v>
      </c>
      <c r="K174" s="3"/>
      <c r="L174" s="10">
        <f t="shared" si="109"/>
        <v>2660</v>
      </c>
      <c r="M174" s="3">
        <v>140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 t="s">
        <v>18</v>
      </c>
      <c r="AF174" s="3"/>
      <c r="AG174" s="3"/>
      <c r="AH174" s="11">
        <f>G174</f>
        <v>70</v>
      </c>
      <c r="AI174" s="11">
        <f t="shared" si="106"/>
        <v>70</v>
      </c>
      <c r="AJ174" s="11">
        <f t="shared" si="107"/>
        <v>0</v>
      </c>
      <c r="AK174" s="11">
        <f t="shared" si="108"/>
        <v>140</v>
      </c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</row>
    <row r="175" spans="1:87" ht="17.25" x14ac:dyDescent="0.35">
      <c r="A175" s="3"/>
      <c r="B175" s="3"/>
      <c r="C175" s="3"/>
      <c r="D175" s="3"/>
      <c r="E175" s="3" t="s">
        <v>23</v>
      </c>
      <c r="F175" s="3"/>
      <c r="G175" s="11">
        <f>SUM(G172:G174)</f>
        <v>241</v>
      </c>
      <c r="H175" s="11">
        <f t="shared" ref="H175:J175" si="110">SUM(H172:H174)</f>
        <v>266</v>
      </c>
      <c r="I175" s="11">
        <f t="shared" si="110"/>
        <v>0</v>
      </c>
      <c r="J175" s="11">
        <f t="shared" si="110"/>
        <v>507</v>
      </c>
      <c r="K175" s="3"/>
      <c r="L175" s="47">
        <f>SUM(L172:L174)</f>
        <v>9111</v>
      </c>
      <c r="M175" s="3">
        <v>507</v>
      </c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 t="s">
        <v>23</v>
      </c>
      <c r="AG175" s="3"/>
      <c r="AH175" s="11">
        <f>SUM(AH172:AH174)</f>
        <v>241</v>
      </c>
      <c r="AI175" s="11">
        <f t="shared" ref="AI175:AK175" si="111">SUM(AI172:AI174)</f>
        <v>266</v>
      </c>
      <c r="AJ175" s="11">
        <f t="shared" si="111"/>
        <v>0</v>
      </c>
      <c r="AK175" s="11">
        <f t="shared" si="111"/>
        <v>507</v>
      </c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</row>
    <row r="176" spans="1:87" ht="17.25" x14ac:dyDescent="0.35">
      <c r="A176" s="3"/>
      <c r="B176" s="3"/>
      <c r="C176" s="3"/>
      <c r="D176" s="3" t="s">
        <v>232</v>
      </c>
      <c r="E176" s="3"/>
      <c r="F176" s="3"/>
      <c r="G176" s="46">
        <f>G170-G175</f>
        <v>7057</v>
      </c>
      <c r="H176" s="11"/>
      <c r="I176" s="11"/>
      <c r="J176" s="46">
        <f>J170-J175</f>
        <v>9111</v>
      </c>
      <c r="K176" s="3"/>
      <c r="L176" s="3"/>
      <c r="M176" s="3">
        <v>9111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 t="s">
        <v>108</v>
      </c>
      <c r="AF176" s="3"/>
      <c r="AG176" s="3"/>
      <c r="AH176" s="15">
        <f>AH170-AH175</f>
        <v>7057</v>
      </c>
      <c r="AI176" s="11"/>
      <c r="AJ176" s="11"/>
      <c r="AK176" s="46">
        <f>AK170-AK175</f>
        <v>9111</v>
      </c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</row>
    <row r="177" spans="1:87" ht="5.0999999999999996" customHeight="1" x14ac:dyDescent="0.25">
      <c r="A177" s="3"/>
      <c r="B177" s="3"/>
      <c r="C177" s="3"/>
      <c r="D177" s="3"/>
      <c r="E177" s="3"/>
      <c r="F177" s="3"/>
      <c r="G177" s="10"/>
      <c r="H177" s="10"/>
      <c r="I177" s="10"/>
      <c r="J177" s="10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10"/>
      <c r="AI177" s="10"/>
      <c r="AJ177" s="10"/>
      <c r="AK177" s="10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</row>
    <row r="178" spans="1:87" ht="17.25" x14ac:dyDescent="0.35">
      <c r="A178" s="60">
        <v>0</v>
      </c>
      <c r="B178" s="3"/>
      <c r="C178" s="44" t="s">
        <v>322</v>
      </c>
      <c r="D178" s="3"/>
      <c r="E178" s="3"/>
      <c r="F178" s="3"/>
      <c r="G178" s="10"/>
      <c r="H178" s="10"/>
      <c r="I178" s="10"/>
      <c r="J178" s="10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104"/>
      <c r="AE178" s="3" t="s">
        <v>109</v>
      </c>
      <c r="AF178" s="3"/>
      <c r="AG178" s="3"/>
      <c r="AH178" s="15">
        <f>AH135+AH162+AH193</f>
        <v>26153</v>
      </c>
      <c r="AI178" s="10"/>
      <c r="AJ178" s="10"/>
      <c r="AK178" s="15">
        <f>AK135+AK162+AK193</f>
        <v>33541</v>
      </c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</row>
    <row r="179" spans="1:87" ht="17.25" x14ac:dyDescent="0.35">
      <c r="A179" s="3"/>
      <c r="B179" s="3"/>
      <c r="C179" s="3" t="s">
        <v>20</v>
      </c>
      <c r="D179" s="3"/>
      <c r="E179" s="3"/>
      <c r="F179" s="3"/>
      <c r="G179" s="10"/>
      <c r="H179" s="10"/>
      <c r="I179" s="10"/>
      <c r="J179" s="10"/>
      <c r="K179" s="100" t="s">
        <v>46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104"/>
      <c r="AE179" s="104"/>
      <c r="AF179" s="104"/>
      <c r="AG179" s="104"/>
      <c r="AH179" s="104"/>
      <c r="AI179" s="104"/>
      <c r="AJ179" s="104"/>
      <c r="AK179" s="104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</row>
    <row r="180" spans="1:87" x14ac:dyDescent="0.25">
      <c r="A180" s="3"/>
      <c r="B180" s="3"/>
      <c r="C180" s="3"/>
      <c r="D180" s="3" t="s">
        <v>17</v>
      </c>
      <c r="E180" s="3"/>
      <c r="F180" s="3"/>
      <c r="G180" s="62">
        <f t="shared" ref="G180:I181" si="112">ROUND(U127*$A$178,0)</f>
        <v>0</v>
      </c>
      <c r="H180" s="62">
        <f t="shared" si="112"/>
        <v>0</v>
      </c>
      <c r="I180" s="62">
        <f t="shared" si="112"/>
        <v>0</v>
      </c>
      <c r="J180" s="8">
        <f>G180+H180-I180</f>
        <v>0</v>
      </c>
      <c r="K180" s="10">
        <f>+J180-J184</f>
        <v>0</v>
      </c>
      <c r="L180" s="3"/>
      <c r="M180" s="3">
        <v>336</v>
      </c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104"/>
      <c r="AE180" s="104"/>
      <c r="AF180" s="104"/>
      <c r="AG180" s="104"/>
      <c r="AH180" s="104"/>
      <c r="AI180" s="104"/>
      <c r="AJ180" s="104"/>
      <c r="AK180" s="104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</row>
    <row r="181" spans="1:87" ht="17.25" x14ac:dyDescent="0.35">
      <c r="A181" s="3"/>
      <c r="B181" s="3"/>
      <c r="C181" s="3"/>
      <c r="D181" s="3" t="s">
        <v>18</v>
      </c>
      <c r="E181" s="3"/>
      <c r="F181" s="3"/>
      <c r="G181" s="64">
        <f t="shared" si="112"/>
        <v>0</v>
      </c>
      <c r="H181" s="64">
        <f t="shared" si="112"/>
        <v>0</v>
      </c>
      <c r="I181" s="64">
        <f t="shared" si="112"/>
        <v>0</v>
      </c>
      <c r="J181" s="11">
        <f>G181+H181-I181</f>
        <v>0</v>
      </c>
      <c r="K181" s="11">
        <f>+J181-J185</f>
        <v>0</v>
      </c>
      <c r="L181" s="3"/>
      <c r="M181" s="3">
        <v>160</v>
      </c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104"/>
      <c r="AE181" s="104"/>
      <c r="AF181" s="104"/>
      <c r="AG181" s="104"/>
      <c r="AH181" s="104"/>
      <c r="AI181" s="104"/>
      <c r="AJ181" s="104"/>
      <c r="AK181" s="104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</row>
    <row r="182" spans="1:87" ht="17.25" x14ac:dyDescent="0.35">
      <c r="A182" s="3"/>
      <c r="B182" s="3"/>
      <c r="C182" s="3"/>
      <c r="D182" s="3"/>
      <c r="E182" s="3" t="s">
        <v>223</v>
      </c>
      <c r="F182" s="3"/>
      <c r="G182" s="11">
        <f>SUM(G179:G181)</f>
        <v>0</v>
      </c>
      <c r="H182" s="11">
        <f t="shared" ref="H182:J182" si="113">SUM(H179:H181)</f>
        <v>0</v>
      </c>
      <c r="I182" s="11">
        <f t="shared" si="113"/>
        <v>0</v>
      </c>
      <c r="J182" s="11">
        <f t="shared" si="113"/>
        <v>0</v>
      </c>
      <c r="K182" s="50">
        <f>SUM(K180:K181)</f>
        <v>0</v>
      </c>
      <c r="L182" s="47" t="str">
        <f>IF(+G182+H182-I182-J182=0,"OK",+G182+H182-I182-J182)</f>
        <v>OK</v>
      </c>
      <c r="M182" s="3">
        <v>496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104"/>
      <c r="AE182" s="104"/>
      <c r="AF182" s="104"/>
      <c r="AG182" s="104"/>
      <c r="AH182" s="104"/>
      <c r="AI182" s="104"/>
      <c r="AJ182" s="104"/>
      <c r="AK182" s="104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</row>
    <row r="183" spans="1:87" x14ac:dyDescent="0.25">
      <c r="A183" s="3"/>
      <c r="B183" s="3"/>
      <c r="C183" s="3" t="s">
        <v>19</v>
      </c>
      <c r="D183" s="3"/>
      <c r="E183" s="3"/>
      <c r="F183" s="3"/>
      <c r="G183" s="10"/>
      <c r="H183" s="10"/>
      <c r="I183" s="10"/>
      <c r="J183" s="10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323</v>
      </c>
      <c r="AE183" s="3"/>
      <c r="AF183" s="3"/>
      <c r="AG183" s="3"/>
      <c r="AH183" s="10"/>
      <c r="AI183" s="10"/>
      <c r="AJ183" s="10"/>
      <c r="AK183" s="10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</row>
    <row r="184" spans="1:87" x14ac:dyDescent="0.25">
      <c r="A184" s="3"/>
      <c r="B184" s="3"/>
      <c r="C184" s="3"/>
      <c r="D184" s="3" t="s">
        <v>17</v>
      </c>
      <c r="E184" s="3"/>
      <c r="F184" s="3"/>
      <c r="G184" s="63">
        <f t="shared" ref="G184:I185" si="114">ROUND(U131*$A$178,0)</f>
        <v>0</v>
      </c>
      <c r="H184" s="63">
        <f t="shared" si="114"/>
        <v>0</v>
      </c>
      <c r="I184" s="63">
        <f t="shared" si="114"/>
        <v>0</v>
      </c>
      <c r="J184" s="10">
        <f t="shared" ref="J184:J185" si="115">G184+H184-I184</f>
        <v>0</v>
      </c>
      <c r="K184" s="3"/>
      <c r="L184" s="3"/>
      <c r="M184" s="3">
        <v>112</v>
      </c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20</v>
      </c>
      <c r="AE184" s="3"/>
      <c r="AF184" s="3"/>
      <c r="AG184" s="3"/>
      <c r="AH184" s="10"/>
      <c r="AI184" s="10"/>
      <c r="AJ184" s="10"/>
      <c r="AK184" s="10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</row>
    <row r="185" spans="1:87" ht="17.25" x14ac:dyDescent="0.35">
      <c r="A185" s="3"/>
      <c r="B185" s="3"/>
      <c r="C185" s="3"/>
      <c r="D185" s="3" t="s">
        <v>18</v>
      </c>
      <c r="E185" s="3"/>
      <c r="F185" s="3"/>
      <c r="G185" s="64">
        <f t="shared" si="114"/>
        <v>0</v>
      </c>
      <c r="H185" s="64">
        <f t="shared" si="114"/>
        <v>0</v>
      </c>
      <c r="I185" s="64">
        <f t="shared" si="114"/>
        <v>0</v>
      </c>
      <c r="J185" s="11">
        <f t="shared" si="115"/>
        <v>0</v>
      </c>
      <c r="K185" s="3"/>
      <c r="L185" s="3"/>
      <c r="M185" s="3">
        <v>104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 t="s">
        <v>17</v>
      </c>
      <c r="AF185" s="3"/>
      <c r="AG185" s="3"/>
      <c r="AH185" s="62">
        <f t="shared" ref="AH185:AK186" si="116">G180</f>
        <v>0</v>
      </c>
      <c r="AI185" s="62">
        <f t="shared" si="116"/>
        <v>0</v>
      </c>
      <c r="AJ185" s="62">
        <f t="shared" si="116"/>
        <v>0</v>
      </c>
      <c r="AK185" s="62">
        <f t="shared" si="116"/>
        <v>0</v>
      </c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</row>
    <row r="186" spans="1:87" ht="17.25" x14ac:dyDescent="0.35">
      <c r="A186" s="3"/>
      <c r="B186" s="3"/>
      <c r="C186" s="3"/>
      <c r="D186" s="3"/>
      <c r="E186" s="3" t="s">
        <v>23</v>
      </c>
      <c r="F186" s="3"/>
      <c r="G186" s="11">
        <f>SUM(G183:G185)</f>
        <v>0</v>
      </c>
      <c r="H186" s="11">
        <f t="shared" ref="H186:J186" si="117">SUM(H183:H185)</f>
        <v>0</v>
      </c>
      <c r="I186" s="11">
        <f t="shared" si="117"/>
        <v>0</v>
      </c>
      <c r="J186" s="11">
        <f t="shared" si="117"/>
        <v>0</v>
      </c>
      <c r="K186" s="3"/>
      <c r="L186" s="47" t="str">
        <f>IF(+G186+H186-I186-J186=0,"OK",+G186+H186-I186-J186)</f>
        <v>OK</v>
      </c>
      <c r="M186" s="3">
        <v>216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 t="s">
        <v>18</v>
      </c>
      <c r="AF186" s="3"/>
      <c r="AG186" s="3"/>
      <c r="AH186" s="11">
        <f t="shared" si="116"/>
        <v>0</v>
      </c>
      <c r="AI186" s="11">
        <f t="shared" si="116"/>
        <v>0</v>
      </c>
      <c r="AJ186" s="11">
        <f t="shared" si="116"/>
        <v>0</v>
      </c>
      <c r="AK186" s="11">
        <f t="shared" si="116"/>
        <v>0</v>
      </c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</row>
    <row r="187" spans="1:87" ht="17.25" x14ac:dyDescent="0.35">
      <c r="A187" s="3"/>
      <c r="B187" s="3"/>
      <c r="C187" s="3"/>
      <c r="D187" s="3" t="s">
        <v>232</v>
      </c>
      <c r="E187" s="3"/>
      <c r="F187" s="3"/>
      <c r="G187" s="46">
        <f>+G182-G186</f>
        <v>0</v>
      </c>
      <c r="H187" s="11"/>
      <c r="I187" s="11"/>
      <c r="J187" s="46">
        <f>+J182-J186</f>
        <v>0</v>
      </c>
      <c r="K187" s="3"/>
      <c r="L187" s="3"/>
      <c r="M187" s="3">
        <v>280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 t="s">
        <v>22</v>
      </c>
      <c r="AG187" s="3"/>
      <c r="AH187" s="11">
        <f>SUM(AH184:AH186)</f>
        <v>0</v>
      </c>
      <c r="AI187" s="11">
        <f>SUM(AI184:AI186)</f>
        <v>0</v>
      </c>
      <c r="AJ187" s="11">
        <f>SUM(AJ184:AJ186)</f>
        <v>0</v>
      </c>
      <c r="AK187" s="11">
        <f>SUM(AK184:AK186)</f>
        <v>0</v>
      </c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</row>
    <row r="188" spans="1:87" ht="17.25" x14ac:dyDescent="0.35">
      <c r="A188" s="3"/>
      <c r="B188" s="3"/>
      <c r="C188" s="3"/>
      <c r="D188" s="3"/>
      <c r="E188" s="3" t="s">
        <v>238</v>
      </c>
      <c r="F188" s="3"/>
      <c r="G188" s="15">
        <f>+G176+G187</f>
        <v>7057</v>
      </c>
      <c r="H188" s="10"/>
      <c r="I188" s="10"/>
      <c r="J188" s="15">
        <f>+J176+J187</f>
        <v>9111</v>
      </c>
      <c r="K188" s="3"/>
      <c r="L188" s="3"/>
      <c r="M188" s="3">
        <v>9391</v>
      </c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 t="s">
        <v>19</v>
      </c>
      <c r="AE188" s="3"/>
      <c r="AF188" s="3"/>
      <c r="AG188" s="3"/>
      <c r="AH188" s="10"/>
      <c r="AI188" s="10"/>
      <c r="AJ188" s="10"/>
      <c r="AK188" s="10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</row>
    <row r="189" spans="1:87" ht="17.25" x14ac:dyDescent="0.35">
      <c r="A189" s="3"/>
      <c r="B189" s="3"/>
      <c r="C189" s="3"/>
      <c r="D189" s="3" t="s">
        <v>225</v>
      </c>
      <c r="E189" s="3"/>
      <c r="F189" s="3"/>
      <c r="G189" s="15">
        <f>G135+G162+G188</f>
        <v>26153</v>
      </c>
      <c r="H189" s="10"/>
      <c r="I189" s="10"/>
      <c r="J189" s="15">
        <f>J135+J162+J188</f>
        <v>33541</v>
      </c>
      <c r="K189" s="3"/>
      <c r="L189" s="3"/>
      <c r="M189" s="3">
        <v>33537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 t="s">
        <v>17</v>
      </c>
      <c r="AF189" s="3"/>
      <c r="AG189" s="3"/>
      <c r="AH189" s="10">
        <f t="shared" ref="AH189:AK190" si="118">G184</f>
        <v>0</v>
      </c>
      <c r="AI189" s="10">
        <f t="shared" si="118"/>
        <v>0</v>
      </c>
      <c r="AJ189" s="10">
        <f t="shared" si="118"/>
        <v>0</v>
      </c>
      <c r="AK189" s="10">
        <f t="shared" si="118"/>
        <v>0</v>
      </c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</row>
    <row r="190" spans="1:87" ht="17.25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 t="s">
        <v>18</v>
      </c>
      <c r="AF190" s="3"/>
      <c r="AG190" s="3"/>
      <c r="AH190" s="11">
        <f t="shared" si="118"/>
        <v>0</v>
      </c>
      <c r="AI190" s="11">
        <f t="shared" si="118"/>
        <v>0</v>
      </c>
      <c r="AJ190" s="11">
        <f t="shared" si="118"/>
        <v>0</v>
      </c>
      <c r="AK190" s="11">
        <f t="shared" si="118"/>
        <v>0</v>
      </c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</row>
    <row r="191" spans="1:87" ht="17.25" x14ac:dyDescent="0.35">
      <c r="A191" s="3"/>
      <c r="B191" s="3"/>
      <c r="C191" s="3"/>
      <c r="D191" s="3"/>
      <c r="E191" s="3"/>
      <c r="K191" s="3"/>
      <c r="L191" s="51" t="s">
        <v>170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 t="s">
        <v>23</v>
      </c>
      <c r="AG191" s="3"/>
      <c r="AH191" s="11">
        <f>SUM(AH188:AH190)</f>
        <v>0</v>
      </c>
      <c r="AI191" s="11">
        <f>SUM(AI188:AI190)</f>
        <v>0</v>
      </c>
      <c r="AJ191" s="11">
        <f>SUM(AJ188:AJ190)</f>
        <v>0</v>
      </c>
      <c r="AK191" s="11">
        <f>SUM(AK188:AK190)</f>
        <v>0</v>
      </c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</row>
    <row r="192" spans="1:87" ht="17.25" x14ac:dyDescent="0.35">
      <c r="A192" s="3"/>
      <c r="B192" s="3"/>
      <c r="C192" s="3"/>
      <c r="D192" s="3"/>
      <c r="E192" s="3"/>
      <c r="F192" s="3"/>
      <c r="G192" s="3"/>
      <c r="H192" s="52" t="s">
        <v>167</v>
      </c>
      <c r="I192" s="26"/>
      <c r="J192" s="26"/>
      <c r="K192" s="3"/>
      <c r="L192" s="3"/>
      <c r="M192" s="4">
        <f>M67</f>
        <v>43646</v>
      </c>
      <c r="N192" s="4">
        <f>N67</f>
        <v>44012</v>
      </c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 t="s">
        <v>324</v>
      </c>
      <c r="AF192" s="3"/>
      <c r="AG192" s="3"/>
      <c r="AH192" s="46">
        <f>+AH187-AH191</f>
        <v>0</v>
      </c>
      <c r="AI192" s="11"/>
      <c r="AJ192" s="11"/>
      <c r="AK192" s="46">
        <f>+AK187-AK191</f>
        <v>0</v>
      </c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</row>
    <row r="193" spans="1:87" ht="17.25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 t="s">
        <v>15</v>
      </c>
      <c r="M193" s="8">
        <v>0</v>
      </c>
      <c r="N193" s="8">
        <v>0</v>
      </c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 t="s">
        <v>239</v>
      </c>
      <c r="AG193" s="3"/>
      <c r="AH193" s="15">
        <f>+AH176+AH192</f>
        <v>7057</v>
      </c>
      <c r="AI193" s="10"/>
      <c r="AJ193" s="10"/>
      <c r="AK193" s="15">
        <f>+AK176+AK192</f>
        <v>9111</v>
      </c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</row>
    <row r="194" spans="1:87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 t="s">
        <v>16</v>
      </c>
      <c r="M194" s="10">
        <v>0</v>
      </c>
      <c r="N194" s="10">
        <v>0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</row>
    <row r="195" spans="1:87" ht="18" x14ac:dyDescent="0.4">
      <c r="A195" s="3"/>
      <c r="B195" s="3"/>
      <c r="C195" s="3"/>
      <c r="D195" s="3"/>
      <c r="E195" s="3"/>
      <c r="F195" s="6" t="s">
        <v>245</v>
      </c>
      <c r="G195" s="106">
        <f>+G64+G189</f>
        <v>8534179</v>
      </c>
      <c r="H195" s="6"/>
      <c r="I195" s="6"/>
      <c r="J195" s="106">
        <f>+J64+J189</f>
        <v>9090269</v>
      </c>
      <c r="K195" s="3"/>
      <c r="L195" s="3" t="s">
        <v>180</v>
      </c>
      <c r="M195" s="63">
        <f>+G114+G115-G119-G120+G127-G131+G140+G141-G145-G146+G154-G158+G167+G168-G172-G173+G180-G184</f>
        <v>15831</v>
      </c>
      <c r="N195" s="10">
        <f>+J114+J115-J119-J120+J127-J131+J140+J141-J145-J146+J154-J158+J167+J168-J172-J173+J180-J184</f>
        <v>23843</v>
      </c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</row>
    <row r="196" spans="1:87" ht="17.25" x14ac:dyDescent="0.35">
      <c r="A196" s="3"/>
      <c r="B196" s="3"/>
      <c r="C196" s="3"/>
      <c r="D196" s="3"/>
      <c r="E196" s="3"/>
      <c r="F196" s="101" t="s">
        <v>248</v>
      </c>
      <c r="G196" s="1" t="str">
        <f>IF(G195-'For MD&amp;A'!G77=0,"Yes",G195-'For MD&amp;A'!G77)</f>
        <v>Yes</v>
      </c>
      <c r="H196" s="3"/>
      <c r="I196" s="3"/>
      <c r="J196" s="103" t="str">
        <f>IF(J195-'For MD&amp;A'!F77=0,"Yes",J195-'For MD&amp;A'!F77)</f>
        <v>Yes</v>
      </c>
      <c r="K196" s="3"/>
      <c r="L196" s="3" t="s">
        <v>18</v>
      </c>
      <c r="M196" s="11">
        <f>+G116-G121+G128-G132+G142-G147+G155-G159+G169-G174+G181-G185</f>
        <v>10322</v>
      </c>
      <c r="N196" s="11">
        <f>+J116-J121+J128-J132+J142-J147+J155-J159+J169-J174+J181-J185</f>
        <v>9698</v>
      </c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 t="str">
        <f>IF(AH178-G189=0,"OK",AH178-G189)</f>
        <v>OK</v>
      </c>
      <c r="AI196" s="3"/>
      <c r="AJ196" s="3"/>
      <c r="AK196" s="3" t="str">
        <f>IF(AK178-J189=0,"OK",AK178-J189)</f>
        <v>OK</v>
      </c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</row>
    <row r="197" spans="1:87" ht="17.25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12" t="s">
        <v>161</v>
      </c>
      <c r="M197" s="15">
        <f>SUM(M193:M196)</f>
        <v>26153</v>
      </c>
      <c r="N197" s="15">
        <f>SUM(N193:N196)</f>
        <v>33541</v>
      </c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</row>
    <row r="198" spans="1:87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16" t="s">
        <v>168</v>
      </c>
      <c r="M198" s="24" t="str">
        <f>IF(M197-G189=0,"Yes",M197-G189)</f>
        <v>Yes</v>
      </c>
      <c r="N198" s="24" t="str">
        <f>IF(N197-J189=0,"Yes",N197-J189)</f>
        <v>Yes</v>
      </c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</row>
    <row r="199" spans="1:87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 t="s">
        <v>181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</row>
    <row r="200" spans="1:8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</row>
    <row r="201" spans="1:87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 t="s">
        <v>17</v>
      </c>
      <c r="M201" s="63">
        <f>+G114-G119+G127-G131+G140-G145+G154-G158+G167-G172+G180-G184</f>
        <v>12082</v>
      </c>
      <c r="N201" s="63">
        <f>+J114-J119+J127-J131+J140-J145+J154-J158+J167-J172+J180-J184</f>
        <v>20345</v>
      </c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</row>
    <row r="202" spans="1:87" ht="17.25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 t="s">
        <v>31</v>
      </c>
      <c r="M202" s="64">
        <f>+G115-G120+G141-G146+G168-G173</f>
        <v>3749</v>
      </c>
      <c r="N202" s="64">
        <f>+J115-J120+J141-J146+J168-J173</f>
        <v>3498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</row>
    <row r="203" spans="1:87" ht="17.25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 t="s">
        <v>180</v>
      </c>
      <c r="M203" s="15">
        <f>SUM(M201:M202)</f>
        <v>15831</v>
      </c>
      <c r="N203" s="15">
        <f>SUM(N201:N202)</f>
        <v>23843</v>
      </c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</row>
    <row r="204" spans="1:87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4" t="str">
        <f>IF(+M195-M203=0,"OK",+M195-M203)</f>
        <v>OK</v>
      </c>
      <c r="N204" s="24" t="str">
        <f>IF(+N195-N203=0,"OK",+N195-N203)</f>
        <v>OK</v>
      </c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</row>
    <row r="205" spans="1:87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</row>
    <row r="206" spans="1:87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 t="s">
        <v>174</v>
      </c>
      <c r="M206" s="8">
        <f>+G117+G129+G143+G156+G170+G182</f>
        <v>27016</v>
      </c>
      <c r="N206" s="8">
        <f>+J117+J129+J143+J156+J170+J182</f>
        <v>36130</v>
      </c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</row>
    <row r="207" spans="1:87" ht="17.25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 t="s">
        <v>175</v>
      </c>
      <c r="M207" s="11">
        <f>+G122+G133+G148+G160+G175+G186</f>
        <v>863</v>
      </c>
      <c r="N207" s="11">
        <f>+J122+J133+J148+J160+J175+J186</f>
        <v>2589</v>
      </c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</row>
    <row r="208" spans="1:87" ht="17.25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 t="s">
        <v>176</v>
      </c>
      <c r="M208" s="15">
        <f>+M206-M207</f>
        <v>26153</v>
      </c>
      <c r="N208" s="15">
        <f>+N206-N207</f>
        <v>33541</v>
      </c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</row>
    <row r="209" spans="1:87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 t="s">
        <v>209</v>
      </c>
      <c r="M209" s="24" t="str">
        <f>IF(+M197-M208=0,"Yes",M197-M208)</f>
        <v>Yes</v>
      </c>
      <c r="N209" s="24" t="str">
        <f>IF(+N197-N208=0,"Yes",N197-N208)</f>
        <v>Yes</v>
      </c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</row>
    <row r="210" spans="1:87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</row>
    <row r="211" spans="1:87" ht="34.5" x14ac:dyDescent="0.35">
      <c r="A211" s="3"/>
      <c r="B211" s="3"/>
      <c r="C211" s="3"/>
      <c r="D211" s="3"/>
      <c r="E211" s="3"/>
      <c r="F211" s="3"/>
      <c r="G211" s="3"/>
      <c r="H211" s="52" t="s">
        <v>196</v>
      </c>
      <c r="I211" s="3"/>
      <c r="J211" s="3"/>
      <c r="K211" s="3"/>
      <c r="L211" s="51" t="s">
        <v>199</v>
      </c>
      <c r="M211" s="65" t="s">
        <v>197</v>
      </c>
      <c r="N211" s="65" t="s">
        <v>322</v>
      </c>
      <c r="O211" s="65" t="s">
        <v>48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</row>
    <row r="212" spans="1:87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 t="s">
        <v>15</v>
      </c>
      <c r="M212" s="8">
        <v>0</v>
      </c>
      <c r="N212" s="8">
        <v>0</v>
      </c>
      <c r="O212" s="8">
        <f>SUM(M212:N212)</f>
        <v>0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</row>
    <row r="213" spans="1:87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 t="s">
        <v>16</v>
      </c>
      <c r="M213" s="10">
        <v>0</v>
      </c>
      <c r="N213" s="10">
        <v>0</v>
      </c>
      <c r="O213" s="10">
        <f>SUM(M213:N213)</f>
        <v>0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</row>
    <row r="214" spans="1:87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66" t="s">
        <v>17</v>
      </c>
      <c r="M214" s="10">
        <f>+J114-J119+J140-J145+J167-J172</f>
        <v>19545</v>
      </c>
      <c r="N214" s="10">
        <f>+J127-J131+J154-J158+J180-J184</f>
        <v>800</v>
      </c>
      <c r="O214" s="10">
        <f t="shared" ref="O214:O216" si="119">SUM(M214:N214)</f>
        <v>20345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</row>
    <row r="215" spans="1:8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66" t="s">
        <v>31</v>
      </c>
      <c r="M215" s="10">
        <f>+J115-J120+J141-J146+J168-J173</f>
        <v>3498</v>
      </c>
      <c r="N215" s="63">
        <v>0</v>
      </c>
      <c r="O215" s="10">
        <f t="shared" si="119"/>
        <v>3498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</row>
    <row r="216" spans="1:87" ht="17.25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66" t="s">
        <v>198</v>
      </c>
      <c r="M216" s="11">
        <f>+J116-J121+J142-J147+J169-J174</f>
        <v>9498</v>
      </c>
      <c r="N216" s="64">
        <f>+J128-J132+J155-J159+J181-J185</f>
        <v>200</v>
      </c>
      <c r="O216" s="11">
        <f t="shared" si="119"/>
        <v>9698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</row>
    <row r="217" spans="1:87" ht="17.25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15">
        <f>SUM(M212:M216)</f>
        <v>32541</v>
      </c>
      <c r="N217" s="15">
        <f>SUM(N212:N216)</f>
        <v>1000</v>
      </c>
      <c r="O217" s="15">
        <f>SUM(O212:O216)</f>
        <v>33541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</row>
    <row r="218" spans="1:87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</row>
    <row r="219" spans="1:87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</row>
    <row r="220" spans="1:87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</row>
    <row r="221" spans="1:8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</row>
    <row r="222" spans="1:87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</row>
    <row r="223" spans="1:8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</row>
    <row r="224" spans="1:8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</row>
    <row r="225" spans="1:87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</row>
    <row r="226" spans="1:87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</row>
    <row r="227" spans="1:87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</row>
    <row r="228" spans="1:87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</row>
    <row r="229" spans="1:87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</row>
    <row r="230" spans="1:87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</row>
    <row r="231" spans="1:87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</row>
    <row r="232" spans="1:87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</row>
    <row r="233" spans="1:87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</row>
    <row r="234" spans="1:87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</row>
    <row r="235" spans="1:87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</row>
    <row r="236" spans="1:87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</row>
    <row r="237" spans="1:87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</row>
    <row r="238" spans="1:87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</row>
    <row r="239" spans="1:87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</row>
    <row r="240" spans="1:87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</row>
    <row r="241" spans="1:87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</row>
    <row r="242" spans="1:87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</row>
    <row r="243" spans="1:87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</row>
    <row r="244" spans="1:87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</row>
    <row r="245" spans="1:87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</row>
    <row r="246" spans="1:87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</row>
    <row r="247" spans="1:87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</row>
    <row r="248" spans="1:87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</row>
    <row r="249" spans="1:87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</row>
    <row r="250" spans="1:87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</row>
    <row r="251" spans="1:87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</row>
    <row r="252" spans="1:87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</row>
    <row r="253" spans="1:87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</row>
    <row r="254" spans="1:87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</row>
    <row r="255" spans="1:87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</row>
    <row r="256" spans="1:87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</row>
    <row r="257" spans="1:87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</row>
    <row r="258" spans="1:87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</row>
    <row r="259" spans="1:87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</row>
    <row r="260" spans="1:87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</row>
    <row r="261" spans="1:87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</row>
    <row r="262" spans="1:87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</row>
    <row r="263" spans="1:87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</row>
    <row r="264" spans="1:87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</row>
    <row r="265" spans="1:87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</row>
    <row r="266" spans="1:87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</row>
    <row r="267" spans="1:87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</row>
    <row r="268" spans="1:87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</row>
    <row r="269" spans="1:87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</row>
    <row r="270" spans="1:87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</row>
    <row r="271" spans="1:87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</row>
    <row r="272" spans="1:87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</row>
    <row r="273" spans="1:87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</row>
    <row r="274" spans="1:87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</row>
    <row r="275" spans="1:87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</row>
    <row r="276" spans="1:87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</row>
    <row r="277" spans="1:87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</row>
    <row r="278" spans="1:87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</row>
    <row r="279" spans="1:87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</row>
    <row r="280" spans="1:87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</row>
    <row r="281" spans="1:87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</row>
    <row r="282" spans="1:87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</row>
    <row r="283" spans="1:87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</row>
    <row r="284" spans="1:87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</row>
    <row r="285" spans="1:87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</row>
    <row r="286" spans="1:87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</row>
    <row r="287" spans="1:87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</row>
    <row r="288" spans="1:87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</row>
    <row r="289" spans="1:87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</row>
    <row r="290" spans="1:87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</row>
    <row r="291" spans="1:87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</row>
    <row r="292" spans="1:87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</row>
    <row r="293" spans="1:87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</row>
    <row r="294" spans="1:87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</row>
    <row r="295" spans="1:87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</row>
    <row r="296" spans="1:87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</row>
    <row r="297" spans="1:87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</row>
    <row r="298" spans="1:87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</row>
    <row r="299" spans="1:87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</row>
    <row r="300" spans="1:87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</row>
    <row r="301" spans="1:87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</row>
    <row r="302" spans="1:87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</row>
    <row r="303" spans="1:87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</row>
    <row r="304" spans="1:87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</row>
    <row r="305" spans="1:87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</row>
    <row r="306" spans="1:87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</row>
    <row r="307" spans="1:87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</row>
    <row r="308" spans="1:87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</row>
    <row r="309" spans="1:87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</row>
    <row r="310" spans="1:87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</row>
    <row r="311" spans="1:87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</row>
    <row r="312" spans="1:87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</row>
    <row r="313" spans="1:87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</row>
    <row r="314" spans="1:87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</row>
    <row r="315" spans="1:87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</row>
    <row r="316" spans="1:87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</row>
    <row r="317" spans="1:87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</row>
    <row r="318" spans="1:87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</row>
    <row r="319" spans="1:87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</row>
    <row r="320" spans="1:87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</row>
    <row r="321" spans="1:87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</row>
    <row r="322" spans="1:87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</row>
    <row r="323" spans="1:87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</row>
    <row r="324" spans="1:87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</row>
    <row r="325" spans="1:87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</row>
    <row r="326" spans="1:87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</row>
    <row r="327" spans="1:87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</row>
    <row r="328" spans="1:87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</row>
    <row r="329" spans="1:87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</row>
    <row r="330" spans="1:87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</row>
    <row r="331" spans="1:87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</row>
    <row r="332" spans="1:87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</row>
    <row r="333" spans="1:87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</row>
    <row r="334" spans="1:87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</row>
    <row r="335" spans="1:87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</row>
    <row r="336" spans="1:87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</row>
    <row r="337" spans="1:87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</row>
    <row r="338" spans="1:87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</row>
    <row r="339" spans="1:87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</row>
    <row r="340" spans="1:87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</row>
    <row r="341" spans="1:87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</row>
    <row r="342" spans="1:87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</row>
    <row r="343" spans="1:87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</row>
    <row r="344" spans="1:87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</row>
    <row r="345" spans="1:87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</row>
    <row r="346" spans="1:87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</row>
    <row r="347" spans="1:87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</row>
    <row r="348" spans="1:87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</row>
    <row r="349" spans="1:87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</row>
    <row r="350" spans="1:87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</row>
    <row r="351" spans="1:87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</row>
    <row r="352" spans="1:87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</row>
    <row r="353" spans="1:87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</row>
    <row r="354" spans="1:87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</row>
    <row r="355" spans="1:87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</row>
    <row r="356" spans="1:87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</row>
    <row r="357" spans="1:87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</row>
    <row r="358" spans="1:87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</row>
    <row r="359" spans="1:87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</row>
    <row r="360" spans="1:87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</row>
    <row r="361" spans="1:87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</row>
    <row r="362" spans="1:87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</row>
    <row r="363" spans="1:87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</row>
    <row r="364" spans="1:87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</row>
    <row r="365" spans="1:87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</row>
    <row r="366" spans="1:87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</row>
    <row r="367" spans="1:87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</row>
    <row r="368" spans="1:87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</row>
    <row r="369" spans="1:87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</row>
    <row r="370" spans="1:87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</row>
    <row r="371" spans="1:87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</row>
    <row r="372" spans="1:87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</row>
    <row r="373" spans="1:87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</row>
    <row r="374" spans="1:87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</row>
    <row r="375" spans="1:87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</row>
    <row r="376" spans="1:87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</row>
    <row r="377" spans="1:87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</row>
    <row r="378" spans="1:87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</row>
    <row r="379" spans="1:87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</row>
    <row r="380" spans="1:87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</row>
    <row r="381" spans="1:87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</row>
    <row r="382" spans="1:87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</row>
    <row r="383" spans="1:87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</row>
    <row r="384" spans="1:87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</row>
    <row r="385" spans="1:87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</row>
    <row r="386" spans="1:87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</row>
    <row r="387" spans="1:87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</row>
    <row r="388" spans="1:87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</row>
    <row r="389" spans="1:87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</row>
    <row r="390" spans="1:87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</row>
    <row r="391" spans="1:87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</row>
    <row r="392" spans="1:87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</row>
    <row r="393" spans="1:87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</row>
    <row r="394" spans="1:87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</row>
    <row r="395" spans="1:87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</row>
    <row r="396" spans="1:87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</row>
    <row r="397" spans="1:87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</row>
    <row r="398" spans="1:87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</row>
    <row r="399" spans="1:87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</row>
    <row r="400" spans="1:87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</row>
    <row r="401" spans="1:87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</row>
    <row r="402" spans="1:87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</row>
    <row r="403" spans="1:87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</row>
    <row r="404" spans="1:87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</row>
    <row r="405" spans="1:87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</row>
    <row r="406" spans="1:87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</row>
    <row r="407" spans="1:87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</row>
    <row r="408" spans="1:87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</row>
    <row r="409" spans="1:87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</row>
    <row r="410" spans="1:87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</row>
    <row r="411" spans="1:87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</row>
    <row r="412" spans="1:87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</row>
    <row r="413" spans="1:87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</row>
  </sheetData>
  <mergeCells count="3">
    <mergeCell ref="F68:G69"/>
    <mergeCell ref="T2:T5"/>
    <mergeCell ref="B1:F1"/>
  </mergeCells>
  <conditionalFormatting sqref="L64">
    <cfRule type="cellIs" dxfId="1" priority="2" operator="notEqual">
      <formula>"OK"</formula>
    </cfRule>
  </conditionalFormatting>
  <conditionalFormatting sqref="X137 U137">
    <cfRule type="cellIs" dxfId="0" priority="1" operator="notEqual">
      <formula>"OK"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A330"/>
  <sheetViews>
    <sheetView showGridLines="0" topLeftCell="F1" workbookViewId="0">
      <selection activeCell="M1" sqref="M1"/>
    </sheetView>
  </sheetViews>
  <sheetFormatPr defaultRowHeight="15.75" x14ac:dyDescent="0.25"/>
  <cols>
    <col min="2" max="2" width="32.5" customWidth="1"/>
    <col min="3" max="5" width="12.625" customWidth="1"/>
    <col min="6" max="7" width="11.25" bestFit="1" customWidth="1"/>
    <col min="8" max="8" width="29" bestFit="1" customWidth="1"/>
    <col min="9" max="14" width="12.625" customWidth="1"/>
    <col min="15" max="15" width="9.625" bestFit="1" customWidth="1"/>
    <col min="16" max="16" width="33.625" customWidth="1"/>
    <col min="17" max="17" width="15.625" customWidth="1"/>
    <col min="18" max="18" width="29" bestFit="1" customWidth="1"/>
    <col min="19" max="19" width="12.625" customWidth="1"/>
    <col min="20" max="20" width="11.625" customWidth="1"/>
    <col min="21" max="21" width="12.625" customWidth="1"/>
    <col min="22" max="22" width="11.625" customWidth="1"/>
    <col min="23" max="23" width="12.625" customWidth="1"/>
    <col min="24" max="24" width="11.625" customWidth="1"/>
  </cols>
  <sheetData>
    <row r="1" spans="1:53" x14ac:dyDescent="0.25">
      <c r="B1" s="2" t="str">
        <f>'For MD&amp;A'!A1</f>
        <v>Owl Charter, Inc.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6" t="s">
        <v>110</v>
      </c>
      <c r="S2" s="2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x14ac:dyDescent="0.25">
      <c r="A3" s="3"/>
      <c r="B3" s="3"/>
      <c r="C3" s="3"/>
      <c r="D3" s="3"/>
      <c r="E3" s="3"/>
      <c r="F3" s="3"/>
      <c r="G3" s="3"/>
      <c r="H3" s="26" t="s">
        <v>73</v>
      </c>
      <c r="I3" s="26"/>
      <c r="J3" s="3"/>
      <c r="K3" s="3"/>
      <c r="L3" s="3"/>
      <c r="M3" s="3"/>
      <c r="N3" s="3"/>
      <c r="O3" s="3"/>
      <c r="P3" s="3"/>
      <c r="Q3" s="3"/>
      <c r="R3" s="3" t="s">
        <v>193</v>
      </c>
      <c r="S3" s="171">
        <v>0.33</v>
      </c>
      <c r="T3" s="171"/>
      <c r="U3" s="171">
        <v>0.39</v>
      </c>
      <c r="V3" s="171"/>
      <c r="W3" s="171">
        <f>1-S3-U3</f>
        <v>0.27999999999999992</v>
      </c>
      <c r="X3" s="171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53" ht="17.25" x14ac:dyDescent="0.35">
      <c r="A4" s="3"/>
      <c r="B4" s="26" t="s">
        <v>110</v>
      </c>
      <c r="C4" s="67" t="s">
        <v>111</v>
      </c>
      <c r="D4" s="3"/>
      <c r="E4" s="3"/>
      <c r="F4" s="3"/>
      <c r="G4" s="3"/>
      <c r="H4" s="3"/>
      <c r="I4" s="3"/>
      <c r="J4" s="3"/>
      <c r="K4" s="3"/>
      <c r="L4" s="3"/>
      <c r="M4" s="3"/>
      <c r="N4" s="68" t="s">
        <v>179</v>
      </c>
      <c r="O4" s="3"/>
      <c r="P4" s="3"/>
      <c r="Q4" s="3"/>
      <c r="R4" s="3"/>
      <c r="S4" s="131" t="s">
        <v>241</v>
      </c>
      <c r="T4" s="131"/>
      <c r="U4" s="131" t="s">
        <v>242</v>
      </c>
      <c r="V4" s="131"/>
      <c r="W4" s="131" t="s">
        <v>243</v>
      </c>
      <c r="X4" s="131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53" x14ac:dyDescent="0.25">
      <c r="A5" s="3"/>
      <c r="B5" s="3"/>
      <c r="C5" s="3"/>
      <c r="D5" s="3"/>
      <c r="E5" s="3"/>
      <c r="F5" s="3"/>
      <c r="G5" s="3"/>
      <c r="H5" s="3"/>
      <c r="I5" s="7" t="s">
        <v>24</v>
      </c>
      <c r="J5" s="3"/>
      <c r="K5" s="3"/>
      <c r="L5" s="7" t="s">
        <v>28</v>
      </c>
      <c r="M5" s="7" t="s">
        <v>72</v>
      </c>
      <c r="N5" s="175" t="s">
        <v>178</v>
      </c>
      <c r="O5" s="3"/>
      <c r="P5" s="3"/>
      <c r="Q5" s="3"/>
      <c r="R5" s="3"/>
      <c r="S5" s="7" t="s">
        <v>28</v>
      </c>
      <c r="T5" s="7" t="s">
        <v>72</v>
      </c>
      <c r="U5" s="7" t="s">
        <v>28</v>
      </c>
      <c r="V5" s="7" t="s">
        <v>72</v>
      </c>
      <c r="W5" s="7" t="s">
        <v>28</v>
      </c>
      <c r="X5" s="7" t="s">
        <v>72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53" ht="17.25" x14ac:dyDescent="0.35">
      <c r="A6" s="3"/>
      <c r="B6" s="3"/>
      <c r="C6" s="3"/>
      <c r="D6" s="3"/>
      <c r="E6" s="3"/>
      <c r="F6" s="3"/>
      <c r="G6" s="3"/>
      <c r="H6" s="3"/>
      <c r="I6" s="43" t="s">
        <v>70</v>
      </c>
      <c r="J6" s="43" t="s">
        <v>26</v>
      </c>
      <c r="K6" s="43" t="s">
        <v>27</v>
      </c>
      <c r="L6" s="43" t="s">
        <v>70</v>
      </c>
      <c r="M6" s="43" t="s">
        <v>71</v>
      </c>
      <c r="N6" s="175"/>
      <c r="O6" s="3"/>
      <c r="P6" s="3"/>
      <c r="Q6" s="3"/>
      <c r="R6" s="43"/>
      <c r="S6" s="43" t="s">
        <v>70</v>
      </c>
      <c r="T6" s="43" t="s">
        <v>71</v>
      </c>
      <c r="U6" s="43" t="s">
        <v>70</v>
      </c>
      <c r="V6" s="43" t="s">
        <v>71</v>
      </c>
      <c r="W6" s="43" t="s">
        <v>70</v>
      </c>
      <c r="X6" s="43" t="s">
        <v>71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x14ac:dyDescent="0.25">
      <c r="A7" s="3"/>
      <c r="B7" s="3"/>
      <c r="C7" s="3"/>
      <c r="D7" s="3"/>
      <c r="E7" s="3"/>
      <c r="F7" s="3"/>
      <c r="G7" s="3"/>
      <c r="H7" s="3" t="s">
        <v>14</v>
      </c>
      <c r="I7" s="3"/>
      <c r="J7" s="3"/>
      <c r="K7" s="3"/>
      <c r="L7" s="3"/>
      <c r="M7" s="3"/>
      <c r="N7" s="3"/>
      <c r="O7" s="3"/>
      <c r="P7" s="3"/>
      <c r="Q7" s="3"/>
      <c r="R7" s="3" t="s">
        <v>14</v>
      </c>
      <c r="S7" s="62"/>
      <c r="T7" s="62"/>
      <c r="U7" s="62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x14ac:dyDescent="0.25">
      <c r="A8" s="3"/>
      <c r="B8" s="3"/>
      <c r="C8" s="3"/>
      <c r="D8" s="3"/>
      <c r="E8" s="3"/>
      <c r="F8" s="3"/>
      <c r="G8" s="3"/>
      <c r="H8" s="3" t="s">
        <v>68</v>
      </c>
      <c r="I8" s="69">
        <v>155177</v>
      </c>
      <c r="J8" s="69">
        <v>650000</v>
      </c>
      <c r="K8" s="69">
        <v>23000</v>
      </c>
      <c r="L8" s="33">
        <f>I8+J8-K8</f>
        <v>782177</v>
      </c>
      <c r="M8" s="8">
        <v>44520</v>
      </c>
      <c r="N8" s="3"/>
      <c r="O8" s="3"/>
      <c r="P8" s="3"/>
      <c r="Q8" s="3"/>
      <c r="R8" s="3" t="s">
        <v>68</v>
      </c>
      <c r="S8" s="62">
        <f>ROUND($S$3*$L8,0)</f>
        <v>258118</v>
      </c>
      <c r="T8" s="62">
        <f>ROUND($S$3*$M8,0)-1</f>
        <v>14691</v>
      </c>
      <c r="U8" s="62">
        <f>ROUND($U$3*$L8,0)</f>
        <v>305049</v>
      </c>
      <c r="V8" s="62">
        <f>ROUND($U$3*$M8,0)</f>
        <v>17363</v>
      </c>
      <c r="W8" s="62">
        <f>ROUND($W$3*$L8,0)</f>
        <v>219010</v>
      </c>
      <c r="X8" s="62">
        <f>ROUND($W$3*$M8,0)</f>
        <v>12466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x14ac:dyDescent="0.25">
      <c r="A9" s="3"/>
      <c r="B9" s="3"/>
      <c r="C9" s="3"/>
      <c r="D9" s="3"/>
      <c r="E9" s="3"/>
      <c r="F9" s="3"/>
      <c r="G9" s="3"/>
      <c r="H9" s="56" t="s">
        <v>304</v>
      </c>
      <c r="I9" s="70">
        <v>25000</v>
      </c>
      <c r="J9" s="70">
        <v>100000</v>
      </c>
      <c r="K9" s="70">
        <v>25000</v>
      </c>
      <c r="L9" s="10">
        <f>I9+J9-K9</f>
        <v>100000</v>
      </c>
      <c r="M9" s="10">
        <v>25000</v>
      </c>
      <c r="N9" s="3"/>
      <c r="O9" s="3"/>
      <c r="P9" s="3"/>
      <c r="Q9" s="3"/>
      <c r="R9" s="56" t="s">
        <v>304</v>
      </c>
      <c r="S9" s="63">
        <v>0</v>
      </c>
      <c r="T9" s="63">
        <v>0</v>
      </c>
      <c r="U9" s="63">
        <v>100000</v>
      </c>
      <c r="V9" s="63">
        <v>25000</v>
      </c>
      <c r="W9" s="63">
        <v>0</v>
      </c>
      <c r="X9" s="63">
        <v>0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53" x14ac:dyDescent="0.25">
      <c r="A10" s="3"/>
      <c r="B10" s="26" t="str">
        <f>P86</f>
        <v>Table Name = Table_Revenue_Bond_Covenant_Calc</v>
      </c>
      <c r="C10" s="26"/>
      <c r="D10" s="26"/>
      <c r="E10" s="71" t="s">
        <v>112</v>
      </c>
      <c r="F10" s="3"/>
      <c r="G10" s="3"/>
      <c r="H10" s="56" t="s">
        <v>305</v>
      </c>
      <c r="I10" s="70">
        <v>7396518</v>
      </c>
      <c r="J10" s="70">
        <v>0</v>
      </c>
      <c r="K10" s="70">
        <v>125000</v>
      </c>
      <c r="L10" s="10">
        <f t="shared" ref="L10:L11" si="0">I10+J10-K10</f>
        <v>7271518</v>
      </c>
      <c r="M10" s="10">
        <v>265000</v>
      </c>
      <c r="N10" s="3"/>
      <c r="O10" s="3"/>
      <c r="P10" s="3"/>
      <c r="Q10" s="3"/>
      <c r="R10" s="56" t="s">
        <v>305</v>
      </c>
      <c r="S10" s="63">
        <f>ROUND($S$3*$L10,0)</f>
        <v>2399601</v>
      </c>
      <c r="T10" s="63">
        <f>ROUND($S$3*$M10,0)</f>
        <v>87450</v>
      </c>
      <c r="U10" s="63">
        <f>ROUND($U$3*$L10,0)</f>
        <v>2835892</v>
      </c>
      <c r="V10" s="63">
        <f>ROUND($U$3*$M10,0)</f>
        <v>103350</v>
      </c>
      <c r="W10" s="63">
        <f>ROUND($W$3*$L10,0)</f>
        <v>2036025</v>
      </c>
      <c r="X10" s="63">
        <f>ROUND($W$3*$M10,0)</f>
        <v>74200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53" ht="17.25" x14ac:dyDescent="0.35">
      <c r="A11" s="3"/>
      <c r="B11" s="3"/>
      <c r="C11" s="3"/>
      <c r="D11" s="3"/>
      <c r="E11" s="3"/>
      <c r="F11" s="3"/>
      <c r="G11" s="3"/>
      <c r="H11" s="3" t="s">
        <v>5</v>
      </c>
      <c r="I11" s="72">
        <v>39105</v>
      </c>
      <c r="J11" s="72">
        <v>54135</v>
      </c>
      <c r="K11" s="72">
        <v>55395</v>
      </c>
      <c r="L11" s="11">
        <f t="shared" si="0"/>
        <v>37845</v>
      </c>
      <c r="M11" s="11">
        <v>32300</v>
      </c>
      <c r="N11" s="3"/>
      <c r="O11" s="3"/>
      <c r="P11" s="3"/>
      <c r="Q11" s="3"/>
      <c r="R11" s="3" t="s">
        <v>5</v>
      </c>
      <c r="S11" s="64">
        <f>ROUND($S$3*$L11,0)-1</f>
        <v>12488</v>
      </c>
      <c r="T11" s="64">
        <f>ROUND($S$3*$M11,0)</f>
        <v>10659</v>
      </c>
      <c r="U11" s="64">
        <f>ROUND($U$3*$L11,0)</f>
        <v>14760</v>
      </c>
      <c r="V11" s="64">
        <f>ROUND($U$3*$M11,0)</f>
        <v>12597</v>
      </c>
      <c r="W11" s="64">
        <f>ROUND($W$3*$L11,0)</f>
        <v>10597</v>
      </c>
      <c r="X11" s="64">
        <f>ROUND($W$3*$M11,0)</f>
        <v>9044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1:53" ht="17.25" x14ac:dyDescent="0.35">
      <c r="A12" s="3"/>
      <c r="B12" s="3"/>
      <c r="C12" s="3"/>
      <c r="D12" s="3"/>
      <c r="E12" s="3"/>
      <c r="F12" s="3"/>
      <c r="G12" s="3"/>
      <c r="H12" s="58" t="s">
        <v>48</v>
      </c>
      <c r="I12" s="15">
        <f>SUM(I8:I11)</f>
        <v>7615800</v>
      </c>
      <c r="J12" s="15">
        <f t="shared" ref="J12:M12" si="1">SUM(J8:J11)</f>
        <v>804135</v>
      </c>
      <c r="K12" s="15">
        <f t="shared" si="1"/>
        <v>228395</v>
      </c>
      <c r="L12" s="15">
        <f t="shared" si="1"/>
        <v>8191540</v>
      </c>
      <c r="M12" s="15">
        <f t="shared" si="1"/>
        <v>366820</v>
      </c>
      <c r="N12" s="15">
        <f>+L12-M12</f>
        <v>7824720</v>
      </c>
      <c r="O12" s="3"/>
      <c r="P12" s="3"/>
      <c r="Q12" s="3"/>
      <c r="R12" s="58" t="s">
        <v>48</v>
      </c>
      <c r="S12" s="15">
        <f t="shared" ref="S12:X12" si="2">SUM(S8:S11)</f>
        <v>2670207</v>
      </c>
      <c r="T12" s="15">
        <f t="shared" si="2"/>
        <v>112800</v>
      </c>
      <c r="U12" s="15">
        <f t="shared" si="2"/>
        <v>3255701</v>
      </c>
      <c r="V12" s="15">
        <f t="shared" si="2"/>
        <v>158310</v>
      </c>
      <c r="W12" s="15">
        <f t="shared" si="2"/>
        <v>2265632</v>
      </c>
      <c r="X12" s="15">
        <f t="shared" si="2"/>
        <v>95710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53" x14ac:dyDescent="0.25">
      <c r="A13" s="3"/>
      <c r="B13" s="3"/>
      <c r="C13" s="3"/>
      <c r="D13" s="3"/>
      <c r="E13" s="3"/>
      <c r="F13" s="3"/>
      <c r="G13" s="3"/>
      <c r="H13" s="3"/>
      <c r="I13" s="10"/>
      <c r="J13" s="10"/>
      <c r="K13" s="10"/>
      <c r="L13" s="10"/>
      <c r="M13" s="1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3" x14ac:dyDescent="0.25">
      <c r="A14" s="3"/>
      <c r="B14" s="3"/>
      <c r="C14" s="3"/>
      <c r="D14" s="3"/>
      <c r="E14" s="3"/>
      <c r="F14" s="3"/>
      <c r="G14" s="3"/>
      <c r="H14" s="3" t="s">
        <v>30</v>
      </c>
      <c r="I14" s="10"/>
      <c r="J14" s="10"/>
      <c r="K14" s="10"/>
      <c r="L14" s="10"/>
      <c r="M14" s="10"/>
      <c r="N14" s="3"/>
      <c r="O14" s="3"/>
      <c r="P14" s="3"/>
      <c r="Q14" s="3"/>
      <c r="R14" s="3" t="s">
        <v>30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1:53" ht="17.25" x14ac:dyDescent="0.35">
      <c r="A15" s="3"/>
      <c r="B15" s="3"/>
      <c r="C15" s="3"/>
      <c r="D15" s="3"/>
      <c r="E15" s="3"/>
      <c r="F15" s="3"/>
      <c r="G15" s="3"/>
      <c r="H15" s="3" t="s">
        <v>5</v>
      </c>
      <c r="I15" s="46">
        <v>0</v>
      </c>
      <c r="J15" s="46">
        <v>2257</v>
      </c>
      <c r="K15" s="46">
        <v>614</v>
      </c>
      <c r="L15" s="46">
        <f t="shared" ref="L15" si="3">I15+J15-K15</f>
        <v>1643</v>
      </c>
      <c r="M15" s="46">
        <v>387</v>
      </c>
      <c r="N15" s="3"/>
      <c r="O15" s="3"/>
      <c r="P15" s="3"/>
      <c r="Q15" s="3"/>
      <c r="R15" s="3" t="s">
        <v>5</v>
      </c>
      <c r="S15" s="73">
        <f>ROUND($S$3*$L15,0)</f>
        <v>542</v>
      </c>
      <c r="T15" s="73">
        <f>ROUND($S$3*$M15,0)</f>
        <v>128</v>
      </c>
      <c r="U15" s="73">
        <f>ROUND($U$3*$L15,0)</f>
        <v>641</v>
      </c>
      <c r="V15" s="73">
        <f>ROUND($U$3*$M15,0)</f>
        <v>151</v>
      </c>
      <c r="W15" s="73">
        <f>ROUND($W$3*$L15,0)</f>
        <v>460</v>
      </c>
      <c r="X15" s="73">
        <f>ROUND($W$3*$M15,0)</f>
        <v>108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7.25" x14ac:dyDescent="0.35">
      <c r="A16" s="3"/>
      <c r="B16" s="3"/>
      <c r="C16" s="3"/>
      <c r="D16" s="3"/>
      <c r="E16" s="3"/>
      <c r="F16" s="3"/>
      <c r="G16" s="3"/>
      <c r="H16" s="58" t="s">
        <v>48</v>
      </c>
      <c r="I16" s="15">
        <f>I15</f>
        <v>0</v>
      </c>
      <c r="J16" s="15">
        <f t="shared" ref="J16:M16" si="4">J15</f>
        <v>2257</v>
      </c>
      <c r="K16" s="15">
        <f t="shared" si="4"/>
        <v>614</v>
      </c>
      <c r="L16" s="15">
        <f t="shared" si="4"/>
        <v>1643</v>
      </c>
      <c r="M16" s="15">
        <f t="shared" si="4"/>
        <v>387</v>
      </c>
      <c r="N16" s="15">
        <f>+L16-M16</f>
        <v>1256</v>
      </c>
      <c r="O16" s="3"/>
      <c r="P16" s="3"/>
      <c r="Q16" s="3"/>
      <c r="R16" s="58" t="s">
        <v>48</v>
      </c>
      <c r="S16" s="15">
        <f t="shared" ref="S16:X16" si="5">S15</f>
        <v>542</v>
      </c>
      <c r="T16" s="15">
        <f t="shared" si="5"/>
        <v>128</v>
      </c>
      <c r="U16" s="15">
        <f t="shared" si="5"/>
        <v>641</v>
      </c>
      <c r="V16" s="15">
        <f t="shared" si="5"/>
        <v>151</v>
      </c>
      <c r="W16" s="15">
        <f t="shared" si="5"/>
        <v>460</v>
      </c>
      <c r="X16" s="15">
        <f t="shared" si="5"/>
        <v>108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ht="17.25" x14ac:dyDescent="0.35">
      <c r="A17" s="3"/>
      <c r="B17" s="3"/>
      <c r="C17" s="3"/>
      <c r="D17" s="3"/>
      <c r="E17" s="3"/>
      <c r="F17" s="3"/>
      <c r="G17" s="3"/>
      <c r="H17" s="3"/>
      <c r="I17" s="74"/>
      <c r="J17" s="74"/>
      <c r="K17" s="74"/>
      <c r="L17" s="74"/>
      <c r="M17" s="7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ht="17.25" x14ac:dyDescent="0.35">
      <c r="A18" s="3"/>
      <c r="B18" s="3"/>
      <c r="C18" s="3"/>
      <c r="D18" s="3"/>
      <c r="E18" s="3"/>
      <c r="F18" s="3"/>
      <c r="G18" s="3"/>
      <c r="H18" s="3"/>
      <c r="I18" s="74"/>
      <c r="J18" s="74"/>
      <c r="K18" s="74"/>
      <c r="L18" s="74"/>
      <c r="M18" s="7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7.25" x14ac:dyDescent="0.35">
      <c r="A19" s="3"/>
      <c r="B19" s="3"/>
      <c r="C19" s="3"/>
      <c r="D19" s="3"/>
      <c r="E19" s="3"/>
      <c r="F19" s="3"/>
      <c r="G19" s="3"/>
      <c r="H19" s="3"/>
      <c r="I19" s="74"/>
      <c r="J19" s="74"/>
      <c r="K19" s="16" t="s">
        <v>99</v>
      </c>
      <c r="L19" s="10">
        <f>SUM(L8:L10)</f>
        <v>8153695</v>
      </c>
      <c r="M19" s="74"/>
      <c r="N19" s="3"/>
      <c r="O19" s="3"/>
      <c r="P19" s="3"/>
      <c r="Q19" s="3"/>
      <c r="R19" s="68" t="s">
        <v>195</v>
      </c>
      <c r="S19" s="3"/>
      <c r="T19" s="7" t="s">
        <v>28</v>
      </c>
      <c r="U19" s="7" t="s">
        <v>72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ht="17.2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16" t="s">
        <v>98</v>
      </c>
      <c r="L20" s="11">
        <f>+L11</f>
        <v>37845</v>
      </c>
      <c r="M20" s="3"/>
      <c r="N20" s="3"/>
      <c r="O20" s="3"/>
      <c r="P20" s="3"/>
      <c r="Q20" s="3"/>
      <c r="R20" s="44" t="s">
        <v>14</v>
      </c>
      <c r="S20" s="3"/>
      <c r="T20" s="43" t="s">
        <v>70</v>
      </c>
      <c r="U20" s="43" t="s">
        <v>71</v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ht="18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 t="s">
        <v>48</v>
      </c>
      <c r="L21" s="50">
        <f>SUM(L19:L20)</f>
        <v>8191540</v>
      </c>
      <c r="M21" s="8"/>
      <c r="N21" s="8"/>
      <c r="O21" s="3"/>
      <c r="P21" s="3"/>
      <c r="Q21" s="3"/>
      <c r="R21" s="3" t="s">
        <v>68</v>
      </c>
      <c r="S21" s="3"/>
      <c r="T21" s="24" t="str">
        <f>IF(S8+U8+W8-L8=0,"Agrees!",S8+U8+W8-L8)</f>
        <v>Agrees!</v>
      </c>
      <c r="U21" s="24" t="str">
        <f t="shared" ref="T21:U25" si="6">IF(T8+V8+X8-M8=0,"Agrees!",T8+V8+X8-M8)</f>
        <v>Agrees!</v>
      </c>
      <c r="V21" s="176" t="s">
        <v>210</v>
      </c>
      <c r="W21" s="176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x14ac:dyDescent="0.25">
      <c r="A22" s="3"/>
      <c r="B22" s="3"/>
      <c r="C22" s="3"/>
      <c r="D22" s="3"/>
      <c r="E22" s="3"/>
      <c r="F22" s="3"/>
      <c r="G22" s="3"/>
      <c r="H22" s="3"/>
      <c r="I22" s="44" t="s">
        <v>221</v>
      </c>
      <c r="J22" s="3"/>
      <c r="K22" s="3"/>
      <c r="L22" s="3"/>
      <c r="M22" s="3"/>
      <c r="N22" s="3"/>
      <c r="O22" s="3"/>
      <c r="P22" s="3"/>
      <c r="Q22" s="3"/>
      <c r="R22" s="3" t="s">
        <v>67</v>
      </c>
      <c r="S22" s="3"/>
      <c r="T22" s="24" t="str">
        <f t="shared" si="6"/>
        <v>Agrees!</v>
      </c>
      <c r="U22" s="24" t="str">
        <f t="shared" si="6"/>
        <v>Agrees!</v>
      </c>
      <c r="V22" s="176"/>
      <c r="W22" s="176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ht="17.25" x14ac:dyDescent="0.35">
      <c r="A23" s="3"/>
      <c r="B23" s="26" t="s">
        <v>54</v>
      </c>
      <c r="C23" s="26"/>
      <c r="D23" s="3"/>
      <c r="E23" s="3"/>
      <c r="F23" s="3"/>
      <c r="G23" s="3"/>
      <c r="H23" s="3"/>
      <c r="I23" s="3"/>
      <c r="J23" s="3"/>
      <c r="K23" s="16" t="s">
        <v>102</v>
      </c>
      <c r="L23" s="15">
        <f>+SUM(J8:J10)-SUM(K8:K10)</f>
        <v>577000</v>
      </c>
      <c r="M23" s="3"/>
      <c r="N23" s="3"/>
      <c r="O23" s="3"/>
      <c r="P23" s="3"/>
      <c r="Q23" s="3"/>
      <c r="R23" s="3" t="s">
        <v>69</v>
      </c>
      <c r="S23" s="3"/>
      <c r="T23" s="24" t="str">
        <f t="shared" si="6"/>
        <v>Agrees!</v>
      </c>
      <c r="U23" s="24" t="str">
        <f t="shared" si="6"/>
        <v>Agrees!</v>
      </c>
      <c r="V23" s="176"/>
      <c r="W23" s="176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ht="17.25" x14ac:dyDescent="0.35">
      <c r="A24" s="3"/>
      <c r="B24" s="3"/>
      <c r="C24" s="3"/>
      <c r="D24" s="3"/>
      <c r="E24" s="3"/>
      <c r="F24" s="3"/>
      <c r="G24" s="3"/>
      <c r="H24" s="3"/>
      <c r="I24" s="3" t="s">
        <v>244</v>
      </c>
      <c r="J24" s="3"/>
      <c r="K24" s="3"/>
      <c r="L24" s="15">
        <f>+J11-K11+J15-K15</f>
        <v>383</v>
      </c>
      <c r="M24" s="3"/>
      <c r="N24" s="3"/>
      <c r="O24" s="3"/>
      <c r="P24" s="3"/>
      <c r="Q24" s="3"/>
      <c r="R24" s="3" t="s">
        <v>5</v>
      </c>
      <c r="S24" s="3"/>
      <c r="T24" s="75" t="str">
        <f t="shared" si="6"/>
        <v>Agrees!</v>
      </c>
      <c r="U24" s="75" t="str">
        <f t="shared" si="6"/>
        <v>Agrees!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ht="17.25" x14ac:dyDescent="0.35">
      <c r="A25" s="3"/>
      <c r="B25" s="3"/>
      <c r="C25" s="3"/>
      <c r="D25" s="7" t="s">
        <v>44</v>
      </c>
      <c r="E25" s="7" t="s">
        <v>46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 t="s">
        <v>194</v>
      </c>
      <c r="S25" s="3"/>
      <c r="T25" s="76" t="str">
        <f>IF(S12+U12+W12-L12=0,"Agrees!",S12+U12+W12-L12)</f>
        <v>Agrees!</v>
      </c>
      <c r="U25" s="76" t="str">
        <f t="shared" si="6"/>
        <v>Agrees!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ht="17.25" x14ac:dyDescent="0.35">
      <c r="A26" s="3"/>
      <c r="B26" s="43" t="s">
        <v>42</v>
      </c>
      <c r="C26" s="43" t="s">
        <v>43</v>
      </c>
      <c r="D26" s="43" t="s">
        <v>45</v>
      </c>
      <c r="E26" s="43" t="s">
        <v>47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4" t="s">
        <v>30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ht="17.25" x14ac:dyDescent="0.35">
      <c r="A27" s="3"/>
      <c r="B27" s="3" t="s">
        <v>16</v>
      </c>
      <c r="C27" s="8">
        <v>650000</v>
      </c>
      <c r="D27" s="8">
        <v>3333</v>
      </c>
      <c r="E27" s="8">
        <f>+C27-D27</f>
        <v>646667</v>
      </c>
      <c r="F27" s="3"/>
      <c r="G27" s="3"/>
      <c r="H27" s="3" t="s">
        <v>247</v>
      </c>
      <c r="I27" s="15">
        <f>+I12+I16</f>
        <v>7615800</v>
      </c>
      <c r="J27" s="3"/>
      <c r="K27" s="3"/>
      <c r="L27" s="15">
        <f>+L12+L16</f>
        <v>8193183</v>
      </c>
      <c r="M27" s="3"/>
      <c r="N27" s="3"/>
      <c r="O27" s="3"/>
      <c r="P27" s="3"/>
      <c r="Q27" s="3"/>
      <c r="R27" s="3" t="s">
        <v>5</v>
      </c>
      <c r="S27" s="3"/>
      <c r="T27" s="76" t="str">
        <f>IF(S15+U15+W15-L15=0,"Agrees!",S15+U15+W15-L15)</f>
        <v>Agrees!</v>
      </c>
      <c r="U27" s="76" t="str">
        <f>IF(T15+V15+X15-M15=0,"Agrees!",T15+V15+X15-M15)</f>
        <v>Agrees!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x14ac:dyDescent="0.25">
      <c r="A28" s="3"/>
      <c r="B28" s="41" t="s">
        <v>17</v>
      </c>
      <c r="C28" s="10">
        <f>18768+10591</f>
        <v>29359</v>
      </c>
      <c r="D28" s="10">
        <v>11991</v>
      </c>
      <c r="E28" s="10">
        <f>+C28-D28</f>
        <v>17368</v>
      </c>
      <c r="F28" s="3"/>
      <c r="G28" s="3"/>
      <c r="H28" s="101" t="s">
        <v>246</v>
      </c>
      <c r="I28" s="103" t="str">
        <f>IF(I27-'For MD&amp;A'!G94=0,"Yes",I27-'For MD&amp;A'!G94)</f>
        <v>Yes</v>
      </c>
      <c r="J28" s="3"/>
      <c r="K28" s="3"/>
      <c r="L28" s="103" t="str">
        <f>IF(L27-'For MD&amp;A'!F94=0,"Yes",L27-'For MD&amp;A'!F94)</f>
        <v>Yes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17.25" x14ac:dyDescent="0.35">
      <c r="A29" s="3"/>
      <c r="B29" s="41" t="s">
        <v>18</v>
      </c>
      <c r="C29" s="11">
        <v>300000</v>
      </c>
      <c r="D29" s="11">
        <v>181858</v>
      </c>
      <c r="E29" s="11">
        <f>+C29-D29</f>
        <v>118142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17.25" x14ac:dyDescent="0.35">
      <c r="A30" s="3"/>
      <c r="B30" s="58" t="s">
        <v>48</v>
      </c>
      <c r="C30" s="15">
        <f>SUM(C27:C29)</f>
        <v>979359</v>
      </c>
      <c r="D30" s="15">
        <f>SUM(D27:D29)</f>
        <v>197182</v>
      </c>
      <c r="E30" s="15">
        <f>SUM(E27:E29)</f>
        <v>782177</v>
      </c>
      <c r="F30" s="10" t="str">
        <f>IF(+E30-L8&lt;&gt;0,"Does NOT equal debt table","Agrees to debt table")</f>
        <v>Agrees to debt table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x14ac:dyDescent="0.25">
      <c r="A33" s="3"/>
      <c r="B33" s="26" t="s">
        <v>53</v>
      </c>
      <c r="C33" s="26"/>
      <c r="D33" s="26"/>
      <c r="E33" s="67" t="s">
        <v>325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7.25" x14ac:dyDescent="0.35">
      <c r="A35" s="3"/>
      <c r="B35" s="3"/>
      <c r="C35" s="131" t="s">
        <v>309</v>
      </c>
      <c r="D35" s="131"/>
      <c r="E35" s="131"/>
      <c r="F35" s="13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7.25" x14ac:dyDescent="0.35">
      <c r="A36" s="3"/>
      <c r="B36" s="43" t="s">
        <v>49</v>
      </c>
      <c r="C36" s="43" t="s">
        <v>241</v>
      </c>
      <c r="D36" s="43" t="s">
        <v>242</v>
      </c>
      <c r="E36" s="43" t="s">
        <v>243</v>
      </c>
      <c r="F36" s="43" t="s">
        <v>48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x14ac:dyDescent="0.25">
      <c r="A37" s="3"/>
      <c r="B37" s="108">
        <f>D107</f>
        <v>2021</v>
      </c>
      <c r="C37" s="8">
        <f>ROUND(0.33*$F37,0)</f>
        <v>14692</v>
      </c>
      <c r="D37" s="8">
        <f>ROUND(0.33*$F37,0)</f>
        <v>14692</v>
      </c>
      <c r="E37" s="8">
        <f>+F37-C37-D37</f>
        <v>15136</v>
      </c>
      <c r="F37" s="8">
        <v>44520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x14ac:dyDescent="0.25">
      <c r="A38" s="3"/>
      <c r="B38" s="117">
        <f t="shared" ref="B38:B41" si="7">D108</f>
        <v>2022</v>
      </c>
      <c r="C38" s="10">
        <f>ROUND(0.33*$F38,0)</f>
        <v>14988</v>
      </c>
      <c r="D38" s="10">
        <f>ROUND(0.33*$F38,0)</f>
        <v>14988</v>
      </c>
      <c r="E38" s="10">
        <f>+F38-C38-D38</f>
        <v>15443</v>
      </c>
      <c r="F38" s="10">
        <v>45419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x14ac:dyDescent="0.25">
      <c r="A39" s="3"/>
      <c r="B39" s="117">
        <f t="shared" si="7"/>
        <v>2023</v>
      </c>
      <c r="C39" s="10">
        <f t="shared" ref="C39:D46" si="8">ROUND(0.33*$F39,0)</f>
        <v>15288</v>
      </c>
      <c r="D39" s="10">
        <f t="shared" si="8"/>
        <v>15288</v>
      </c>
      <c r="E39" s="10">
        <f t="shared" ref="E39:E44" si="9">+F39-C39-D39</f>
        <v>15752</v>
      </c>
      <c r="F39" s="10">
        <v>46328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x14ac:dyDescent="0.25">
      <c r="A40" s="3"/>
      <c r="B40" s="117">
        <f t="shared" si="7"/>
        <v>2024</v>
      </c>
      <c r="C40" s="10">
        <f t="shared" si="8"/>
        <v>15905</v>
      </c>
      <c r="D40" s="10">
        <f t="shared" si="8"/>
        <v>15905</v>
      </c>
      <c r="E40" s="10">
        <f t="shared" si="9"/>
        <v>16388</v>
      </c>
      <c r="F40" s="10">
        <v>48198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x14ac:dyDescent="0.25">
      <c r="A41" s="3"/>
      <c r="B41" s="117">
        <f t="shared" si="7"/>
        <v>2025</v>
      </c>
      <c r="C41" s="10">
        <f t="shared" si="8"/>
        <v>16542</v>
      </c>
      <c r="D41" s="10">
        <f t="shared" si="8"/>
        <v>16542</v>
      </c>
      <c r="E41" s="10">
        <f t="shared" si="9"/>
        <v>17042</v>
      </c>
      <c r="F41" s="10">
        <v>50126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x14ac:dyDescent="0.25">
      <c r="A42" s="3"/>
      <c r="B42" s="108" t="str">
        <f>CONCATENATE($B$61+1," - ",$B$61+5)</f>
        <v>2026 - 2030</v>
      </c>
      <c r="C42" s="10">
        <f t="shared" si="8"/>
        <v>79129</v>
      </c>
      <c r="D42" s="10">
        <f t="shared" si="8"/>
        <v>79129</v>
      </c>
      <c r="E42" s="10">
        <f t="shared" si="9"/>
        <v>81526</v>
      </c>
      <c r="F42" s="10">
        <f>225633+14151</f>
        <v>239784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x14ac:dyDescent="0.25">
      <c r="A43" s="3"/>
      <c r="B43" s="108" t="str">
        <f>CONCATENATE($B$61+6," - ",$B$61+10)</f>
        <v>2031 - 2035</v>
      </c>
      <c r="C43" s="10">
        <f t="shared" si="8"/>
        <v>79695</v>
      </c>
      <c r="D43" s="10">
        <f t="shared" si="8"/>
        <v>79695</v>
      </c>
      <c r="E43" s="10">
        <f t="shared" si="9"/>
        <v>82110</v>
      </c>
      <c r="F43" s="10">
        <f>227500+14000</f>
        <v>241500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7.25" x14ac:dyDescent="0.35">
      <c r="A44" s="3"/>
      <c r="B44" s="108" t="str">
        <f>CONCATENATE($B$61+11," - ",$B$61+15)</f>
        <v>2036 - 2040</v>
      </c>
      <c r="C44" s="11">
        <f t="shared" si="8"/>
        <v>84328</v>
      </c>
      <c r="D44" s="11">
        <f t="shared" si="8"/>
        <v>84328</v>
      </c>
      <c r="E44" s="11">
        <f t="shared" si="9"/>
        <v>86882</v>
      </c>
      <c r="F44" s="11">
        <f>250250+5288</f>
        <v>255538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x14ac:dyDescent="0.25">
      <c r="A45" s="3"/>
      <c r="B45" s="57" t="s">
        <v>50</v>
      </c>
      <c r="C45" s="10">
        <f>SUM(C37:C44)</f>
        <v>320567</v>
      </c>
      <c r="D45" s="10">
        <f>SUM(D37:D44)</f>
        <v>320567</v>
      </c>
      <c r="E45" s="10">
        <f>SUM(E37:E44)</f>
        <v>330279</v>
      </c>
      <c r="F45" s="10">
        <f>SUM(F37:F44)</f>
        <v>971413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7.25" x14ac:dyDescent="0.35">
      <c r="A46" s="3"/>
      <c r="B46" s="57" t="s">
        <v>51</v>
      </c>
      <c r="C46" s="11">
        <f t="shared" si="8"/>
        <v>62448</v>
      </c>
      <c r="D46" s="11">
        <f t="shared" si="8"/>
        <v>62448</v>
      </c>
      <c r="E46" s="11">
        <f t="shared" ref="E46" si="10">+F46-C46-D46</f>
        <v>64340</v>
      </c>
      <c r="F46" s="11">
        <v>189236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32.25" x14ac:dyDescent="0.35">
      <c r="A47" s="3"/>
      <c r="B47" s="105" t="s">
        <v>52</v>
      </c>
      <c r="C47" s="15">
        <f>+C45-C46</f>
        <v>258119</v>
      </c>
      <c r="D47" s="15">
        <f>+D45-D46</f>
        <v>258119</v>
      </c>
      <c r="E47" s="15">
        <f>+E45-E46</f>
        <v>265939</v>
      </c>
      <c r="F47" s="15">
        <f>+F45-F46</f>
        <v>782177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7.25" x14ac:dyDescent="0.35">
      <c r="A49" s="3"/>
      <c r="B49" s="43"/>
      <c r="C49" s="4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7.25" x14ac:dyDescent="0.35">
      <c r="A51" s="3"/>
      <c r="B51" s="16" t="s">
        <v>103</v>
      </c>
      <c r="C51" s="77" t="str">
        <f>IF(F47-L8=0,"OK",F47-L8)</f>
        <v>OK</v>
      </c>
      <c r="D51" s="78" t="str">
        <f>IF(F47-L8=0," ","Check this!")</f>
        <v xml:space="preserve"> 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x14ac:dyDescent="0.25">
      <c r="A54" s="3"/>
      <c r="B54" s="26" t="s">
        <v>58</v>
      </c>
      <c r="C54" s="26"/>
      <c r="D54" s="3"/>
      <c r="E54" s="67" t="s">
        <v>325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7.25" x14ac:dyDescent="0.35">
      <c r="A56" s="3"/>
      <c r="B56" s="43" t="s">
        <v>49</v>
      </c>
      <c r="C56" s="43" t="s">
        <v>55</v>
      </c>
      <c r="D56" s="43" t="s">
        <v>56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x14ac:dyDescent="0.25">
      <c r="A57" s="3"/>
      <c r="B57" s="7">
        <v>2021</v>
      </c>
      <c r="C57" s="8">
        <f>L108</f>
        <v>165000</v>
      </c>
      <c r="D57" s="8">
        <f>M108</f>
        <v>236324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x14ac:dyDescent="0.25">
      <c r="A58" s="3"/>
      <c r="B58" s="7">
        <f>B57+1</f>
        <v>2022</v>
      </c>
      <c r="C58" s="10">
        <f>L109</f>
        <v>165000</v>
      </c>
      <c r="D58" s="10">
        <f>M109</f>
        <v>230962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x14ac:dyDescent="0.25">
      <c r="A59" s="3"/>
      <c r="B59" s="108">
        <f t="shared" ref="B59:B61" si="11">B58+1</f>
        <v>2023</v>
      </c>
      <c r="C59" s="10">
        <f t="shared" ref="C59:D59" si="12">L110</f>
        <v>265000</v>
      </c>
      <c r="D59" s="10">
        <f t="shared" si="12"/>
        <v>225599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x14ac:dyDescent="0.25">
      <c r="A60" s="3"/>
      <c r="B60" s="108">
        <f t="shared" si="11"/>
        <v>2024</v>
      </c>
      <c r="C60" s="10">
        <f>L111</f>
        <v>268000</v>
      </c>
      <c r="D60" s="10">
        <f t="shared" ref="D60" si="13">M111</f>
        <v>216987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x14ac:dyDescent="0.25">
      <c r="A61" s="3"/>
      <c r="B61" s="108">
        <f t="shared" si="11"/>
        <v>2025</v>
      </c>
      <c r="C61" s="10">
        <f t="shared" ref="C61:D61" si="14">L112</f>
        <v>268000</v>
      </c>
      <c r="D61" s="10">
        <f t="shared" si="14"/>
        <v>208277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x14ac:dyDescent="0.25">
      <c r="A62" s="3"/>
      <c r="B62" s="7" t="str">
        <f>CONCATENATE($B$61+1," - ",$B$61+5)</f>
        <v>2026 - 2030</v>
      </c>
      <c r="C62" s="10">
        <f>L115</f>
        <v>1376000</v>
      </c>
      <c r="D62" s="10">
        <f>M115</f>
        <v>909240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x14ac:dyDescent="0.25">
      <c r="A63" s="3"/>
      <c r="B63" s="108" t="str">
        <f>CONCATENATE($B$61+6," - ",$B$61+10)</f>
        <v>2031 - 2035</v>
      </c>
      <c r="C63" s="10">
        <f>L120</f>
        <v>1482500</v>
      </c>
      <c r="D63" s="10">
        <f>M120</f>
        <v>680148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x14ac:dyDescent="0.25">
      <c r="A64" s="3"/>
      <c r="B64" s="108" t="str">
        <f>CONCATENATE($B$61+11," - ",$B$61+15)</f>
        <v>2036 - 2040</v>
      </c>
      <c r="C64" s="10">
        <f>L125</f>
        <v>1699000</v>
      </c>
      <c r="D64" s="10">
        <f>M125</f>
        <v>427573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7.25" x14ac:dyDescent="0.35">
      <c r="A65" s="3"/>
      <c r="B65" s="108" t="str">
        <f>CONCATENATE($B$61+16," - ",$B$61+19)</f>
        <v>2041 - 2044</v>
      </c>
      <c r="C65" s="11">
        <f>L129</f>
        <v>1583018</v>
      </c>
      <c r="D65" s="11">
        <f>M129</f>
        <v>115344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7.25" x14ac:dyDescent="0.35">
      <c r="A66" s="3"/>
      <c r="B66" s="58" t="s">
        <v>57</v>
      </c>
      <c r="C66" s="15">
        <f>SUM(C57:C65)</f>
        <v>7271518</v>
      </c>
      <c r="D66" s="15">
        <f>SUM(D57:D65)</f>
        <v>3250454</v>
      </c>
      <c r="E66" s="3" t="str">
        <f>IF(C66-L10=0,"Agrees to debt table","Does NOT agree to debt table")</f>
        <v>Agrees to debt table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7.25" x14ac:dyDescent="0.35">
      <c r="A67" s="3"/>
      <c r="B67" s="58"/>
      <c r="C67" s="15"/>
      <c r="D67" s="1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7.25" x14ac:dyDescent="0.35">
      <c r="A68" s="3"/>
      <c r="B68" s="58"/>
      <c r="C68" s="15"/>
      <c r="D68" s="1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7.25" x14ac:dyDescent="0.35">
      <c r="A69" s="3"/>
      <c r="B69" s="26" t="s">
        <v>185</v>
      </c>
      <c r="C69" s="15"/>
      <c r="D69" s="1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7.25" x14ac:dyDescent="0.35">
      <c r="A70" s="3"/>
      <c r="B70" s="56"/>
      <c r="C70" s="15"/>
      <c r="D70" s="1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7.25" x14ac:dyDescent="0.35">
      <c r="A71" s="3"/>
      <c r="B71" s="58"/>
      <c r="C71" s="173" t="s">
        <v>310</v>
      </c>
      <c r="D71" s="173"/>
      <c r="E71" s="17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7.25" x14ac:dyDescent="0.35">
      <c r="A72" s="3"/>
      <c r="B72" s="43" t="s">
        <v>49</v>
      </c>
      <c r="C72" s="43" t="s">
        <v>241</v>
      </c>
      <c r="D72" s="43" t="s">
        <v>242</v>
      </c>
      <c r="E72" s="43" t="s">
        <v>243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x14ac:dyDescent="0.25">
      <c r="A73" s="3"/>
      <c r="B73" s="7">
        <f t="shared" ref="B73:B81" si="15">B57</f>
        <v>2021</v>
      </c>
      <c r="C73" s="62">
        <f t="shared" ref="C73:C81" si="16">ROUND(SUM(C57:D57)*0.3,0)</f>
        <v>120397</v>
      </c>
      <c r="D73" s="62">
        <f t="shared" ref="D73:D81" si="17">ROUND(SUM(C57:D57)*0.35,0)</f>
        <v>140463</v>
      </c>
      <c r="E73" s="62">
        <f t="shared" ref="E73:E81" si="18">ROUND(SUM(C57:D57)-SUM(C73:D73),0)</f>
        <v>140464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x14ac:dyDescent="0.25">
      <c r="A74" s="3"/>
      <c r="B74" s="108">
        <f t="shared" si="15"/>
        <v>2022</v>
      </c>
      <c r="C74" s="63">
        <f t="shared" si="16"/>
        <v>118789</v>
      </c>
      <c r="D74" s="63">
        <f t="shared" si="17"/>
        <v>138587</v>
      </c>
      <c r="E74" s="63">
        <f t="shared" si="18"/>
        <v>138586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x14ac:dyDescent="0.25">
      <c r="A75" s="3"/>
      <c r="B75" s="108">
        <f t="shared" si="15"/>
        <v>2023</v>
      </c>
      <c r="C75" s="10">
        <f t="shared" si="16"/>
        <v>147180</v>
      </c>
      <c r="D75" s="63">
        <f t="shared" si="17"/>
        <v>171710</v>
      </c>
      <c r="E75" s="63">
        <f t="shared" si="18"/>
        <v>171709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x14ac:dyDescent="0.25">
      <c r="A76" s="3"/>
      <c r="B76" s="108">
        <f t="shared" si="15"/>
        <v>2024</v>
      </c>
      <c r="C76" s="10">
        <f t="shared" si="16"/>
        <v>145496</v>
      </c>
      <c r="D76" s="63">
        <f t="shared" si="17"/>
        <v>169745</v>
      </c>
      <c r="E76" s="63">
        <f t="shared" si="18"/>
        <v>169746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x14ac:dyDescent="0.25">
      <c r="A77" s="3"/>
      <c r="B77" s="108">
        <f t="shared" si="15"/>
        <v>2025</v>
      </c>
      <c r="C77" s="10">
        <f t="shared" si="16"/>
        <v>142883</v>
      </c>
      <c r="D77" s="63">
        <f t="shared" si="17"/>
        <v>166697</v>
      </c>
      <c r="E77" s="63">
        <f t="shared" si="18"/>
        <v>166697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x14ac:dyDescent="0.25">
      <c r="A78" s="3"/>
      <c r="B78" s="108" t="str">
        <f t="shared" si="15"/>
        <v>2026 - 2030</v>
      </c>
      <c r="C78" s="10">
        <f t="shared" si="16"/>
        <v>685572</v>
      </c>
      <c r="D78" s="63">
        <f t="shared" si="17"/>
        <v>799834</v>
      </c>
      <c r="E78" s="63">
        <f t="shared" si="18"/>
        <v>799834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x14ac:dyDescent="0.25">
      <c r="A79" s="3"/>
      <c r="B79" s="108" t="str">
        <f t="shared" si="15"/>
        <v>2031 - 2035</v>
      </c>
      <c r="C79" s="10">
        <f t="shared" si="16"/>
        <v>648794</v>
      </c>
      <c r="D79" s="63">
        <f t="shared" si="17"/>
        <v>756927</v>
      </c>
      <c r="E79" s="63">
        <f t="shared" si="18"/>
        <v>756927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x14ac:dyDescent="0.25">
      <c r="A80" s="3"/>
      <c r="B80" s="108" t="str">
        <f t="shared" si="15"/>
        <v>2036 - 2040</v>
      </c>
      <c r="C80" s="10">
        <f t="shared" si="16"/>
        <v>637972</v>
      </c>
      <c r="D80" s="63">
        <f t="shared" si="17"/>
        <v>744301</v>
      </c>
      <c r="E80" s="63">
        <f t="shared" si="18"/>
        <v>744300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7.25" x14ac:dyDescent="0.35">
      <c r="A81" s="3"/>
      <c r="B81" s="108" t="str">
        <f t="shared" si="15"/>
        <v>2041 - 2044</v>
      </c>
      <c r="C81" s="11">
        <f t="shared" si="16"/>
        <v>509509</v>
      </c>
      <c r="D81" s="64">
        <f t="shared" si="17"/>
        <v>594427</v>
      </c>
      <c r="E81" s="64">
        <f t="shared" si="18"/>
        <v>594426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7.25" x14ac:dyDescent="0.35">
      <c r="A82" s="3"/>
      <c r="B82" s="58" t="s">
        <v>57</v>
      </c>
      <c r="C82" s="15">
        <f>SUM(C73:C81)</f>
        <v>3156592</v>
      </c>
      <c r="D82" s="15">
        <f>SUM(D73:D81)</f>
        <v>3682691</v>
      </c>
      <c r="E82" s="15">
        <f>SUM(E73:E81)</f>
        <v>3682689</v>
      </c>
      <c r="F82" s="3" t="str">
        <f>IF(SUM(C82:E82)-(C66+D66)=0,"Agrees to debt table","Does NOT agree to debt table")</f>
        <v>Agrees to debt table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7.25" x14ac:dyDescent="0.35">
      <c r="A83" s="3"/>
      <c r="B83" s="58"/>
      <c r="C83" s="15"/>
      <c r="D83" s="1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x14ac:dyDescent="0.25">
      <c r="A84" s="3"/>
      <c r="B84" s="3"/>
      <c r="C84" s="3" t="str">
        <f>IF(SUM(C66:D66)-SUM(C82:E82)=0,"OK",SUM(C66:D66)-SUM(C82:E82))</f>
        <v>OK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7.25" x14ac:dyDescent="0.35">
      <c r="A86" s="3"/>
      <c r="B86" s="16" t="s">
        <v>104</v>
      </c>
      <c r="C86" s="77" t="str">
        <f>IF(C66-L10=0,"OK",C66-L10)</f>
        <v>OK</v>
      </c>
      <c r="D86" s="78" t="str">
        <f>IF(C66-L10=0," ","Check this!")</f>
        <v xml:space="preserve"> 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26" t="s">
        <v>66</v>
      </c>
      <c r="Q86" s="26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7.25" x14ac:dyDescent="0.35">
      <c r="A87" s="3"/>
      <c r="B87" s="3" t="s">
        <v>105</v>
      </c>
      <c r="C87" s="1" t="s">
        <v>213</v>
      </c>
      <c r="D87" s="79" t="s">
        <v>192</v>
      </c>
      <c r="E87" s="26"/>
      <c r="F87" s="26"/>
      <c r="G87" s="1" t="s">
        <v>213</v>
      </c>
      <c r="H87" s="15">
        <f>+C66+D66</f>
        <v>10521972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x14ac:dyDescent="0.25">
      <c r="A88" s="3"/>
      <c r="B88" s="3" t="s">
        <v>106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80" t="s">
        <v>59</v>
      </c>
      <c r="Q88" s="8">
        <v>1683431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7.25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80" t="s">
        <v>60</v>
      </c>
      <c r="Q89" s="11">
        <f>1080016+252562-Q99-Q100</f>
        <v>990893</v>
      </c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80" t="s">
        <v>61</v>
      </c>
      <c r="Q90" s="10">
        <f>+Q88-Q89</f>
        <v>692538</v>
      </c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7.25" x14ac:dyDescent="0.35">
      <c r="A91" s="3"/>
      <c r="B91" s="26" t="s">
        <v>66</v>
      </c>
      <c r="C91" s="26"/>
      <c r="D91" s="81" t="s">
        <v>186</v>
      </c>
      <c r="E91" s="3" t="s">
        <v>187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80" t="s">
        <v>62</v>
      </c>
      <c r="Q91" s="11">
        <v>-938</v>
      </c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7.25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80" t="s">
        <v>63</v>
      </c>
      <c r="Q92" s="15">
        <f>+Q90+Q91</f>
        <v>691600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30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80" t="s">
        <v>65</v>
      </c>
      <c r="Q93" s="15">
        <f>+F107+G107</f>
        <v>365387</v>
      </c>
      <c r="R93" s="8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8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82" t="s">
        <v>64</v>
      </c>
      <c r="Q94" s="83">
        <f>Q92/Q93</f>
        <v>1.8927876470700928</v>
      </c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8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172" t="s">
        <v>188</v>
      </c>
      <c r="Q95" s="172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174" t="s">
        <v>189</v>
      </c>
      <c r="Q96" s="174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7.25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 t="s">
        <v>190</v>
      </c>
      <c r="Q99" s="15">
        <f>-'Capital Assets'!H71</f>
        <v>101298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7.25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 t="s">
        <v>191</v>
      </c>
      <c r="Q100" s="15">
        <f>G107</f>
        <v>240387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x14ac:dyDescent="0.25">
      <c r="A102" s="3"/>
      <c r="B102" s="3"/>
      <c r="C102" s="26" t="s">
        <v>91</v>
      </c>
      <c r="D102" s="26"/>
      <c r="E102" s="26"/>
      <c r="F102" s="2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7.25" x14ac:dyDescent="0.35">
      <c r="A103" s="3"/>
      <c r="B103" s="3"/>
      <c r="C103" s="84" t="s">
        <v>211</v>
      </c>
      <c r="D103" s="3"/>
      <c r="E103" s="84" t="s">
        <v>24</v>
      </c>
      <c r="F103" s="84" t="s">
        <v>55</v>
      </c>
      <c r="G103" s="84" t="s">
        <v>56</v>
      </c>
      <c r="H103" s="84" t="s">
        <v>28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x14ac:dyDescent="0.25">
      <c r="A104" s="3"/>
      <c r="B104" s="3"/>
      <c r="C104" s="16"/>
      <c r="D104" s="3"/>
      <c r="E104" s="85"/>
      <c r="F104" s="85"/>
      <c r="G104" s="86">
        <v>3.2500000000000001E-2</v>
      </c>
      <c r="H104" s="8">
        <v>7491518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x14ac:dyDescent="0.25">
      <c r="A105" s="3"/>
      <c r="B105" s="3"/>
      <c r="C105" s="3">
        <v>0</v>
      </c>
      <c r="D105" s="3">
        <v>2020</v>
      </c>
      <c r="E105" s="10">
        <f>H104</f>
        <v>7491518</v>
      </c>
      <c r="F105" s="10">
        <v>95000</v>
      </c>
      <c r="G105" s="10">
        <f>ROUND(E105*$G$104,0)</f>
        <v>243474</v>
      </c>
      <c r="H105" s="10">
        <f>H104-F105</f>
        <v>7396518</v>
      </c>
      <c r="I105" s="10"/>
      <c r="J105" s="10">
        <f>+F105+G105</f>
        <v>338474</v>
      </c>
      <c r="K105" s="3"/>
      <c r="L105" s="85"/>
      <c r="M105" s="85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x14ac:dyDescent="0.25">
      <c r="A106" s="3"/>
      <c r="B106" s="3"/>
      <c r="C106" s="3"/>
      <c r="D106" s="3"/>
      <c r="E106" s="10"/>
      <c r="F106" s="10"/>
      <c r="G106" s="10"/>
      <c r="H106" s="10"/>
      <c r="I106" s="10"/>
      <c r="J106" s="10"/>
      <c r="K106" s="3"/>
      <c r="L106" s="85"/>
      <c r="M106" s="85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x14ac:dyDescent="0.25">
      <c r="A107" s="3"/>
      <c r="B107" s="3"/>
      <c r="C107" s="3">
        <v>1</v>
      </c>
      <c r="D107" s="87">
        <f>D105+1</f>
        <v>2021</v>
      </c>
      <c r="E107" s="88">
        <f>+H105</f>
        <v>7396518</v>
      </c>
      <c r="F107" s="88">
        <v>125000</v>
      </c>
      <c r="G107" s="88">
        <f t="shared" ref="G107:G130" si="19">ROUND(E107*$G$104,0)</f>
        <v>240387</v>
      </c>
      <c r="H107" s="88">
        <f>H105-F107</f>
        <v>7271518</v>
      </c>
      <c r="I107" s="88"/>
      <c r="J107" s="88">
        <f>+F107+G107</f>
        <v>365387</v>
      </c>
      <c r="K107" s="87"/>
      <c r="L107" s="89" t="s">
        <v>92</v>
      </c>
      <c r="M107" s="90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x14ac:dyDescent="0.25">
      <c r="A108" s="3"/>
      <c r="B108" s="3"/>
      <c r="C108" s="3">
        <f>C107+1</f>
        <v>2</v>
      </c>
      <c r="D108" s="3">
        <f>D107+1</f>
        <v>2022</v>
      </c>
      <c r="E108" s="10">
        <f t="shared" ref="E108:E131" si="20">+H107</f>
        <v>7271518</v>
      </c>
      <c r="F108" s="10">
        <v>165000</v>
      </c>
      <c r="G108" s="10">
        <f t="shared" si="19"/>
        <v>236324</v>
      </c>
      <c r="H108" s="10">
        <f t="shared" ref="H108:H131" si="21">H107-F108</f>
        <v>7106518</v>
      </c>
      <c r="I108" s="10"/>
      <c r="J108" s="10">
        <f t="shared" ref="J108:J131" si="22">+F108+G108</f>
        <v>401324</v>
      </c>
      <c r="K108" s="3"/>
      <c r="L108" s="10">
        <f t="shared" ref="L108:M112" si="23">F108</f>
        <v>165000</v>
      </c>
      <c r="M108" s="10">
        <f t="shared" si="23"/>
        <v>236324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x14ac:dyDescent="0.25">
      <c r="A109" s="3"/>
      <c r="B109" s="3"/>
      <c r="C109" s="3">
        <f t="shared" ref="C109:D124" si="24">C108+1</f>
        <v>3</v>
      </c>
      <c r="D109" s="3">
        <f t="shared" si="24"/>
        <v>2023</v>
      </c>
      <c r="E109" s="10">
        <f t="shared" si="20"/>
        <v>7106518</v>
      </c>
      <c r="F109" s="10">
        <v>165000</v>
      </c>
      <c r="G109" s="10">
        <f t="shared" si="19"/>
        <v>230962</v>
      </c>
      <c r="H109" s="10">
        <f t="shared" si="21"/>
        <v>6941518</v>
      </c>
      <c r="I109" s="10"/>
      <c r="J109" s="10">
        <f t="shared" si="22"/>
        <v>395962</v>
      </c>
      <c r="K109" s="3"/>
      <c r="L109" s="10">
        <f t="shared" si="23"/>
        <v>165000</v>
      </c>
      <c r="M109" s="10">
        <f t="shared" si="23"/>
        <v>230962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x14ac:dyDescent="0.25">
      <c r="A110" s="3"/>
      <c r="B110" s="3"/>
      <c r="C110" s="3">
        <f t="shared" si="24"/>
        <v>4</v>
      </c>
      <c r="D110" s="3">
        <f t="shared" si="24"/>
        <v>2024</v>
      </c>
      <c r="E110" s="10">
        <f t="shared" si="20"/>
        <v>6941518</v>
      </c>
      <c r="F110" s="10">
        <v>265000</v>
      </c>
      <c r="G110" s="10">
        <f t="shared" si="19"/>
        <v>225599</v>
      </c>
      <c r="H110" s="10">
        <f t="shared" si="21"/>
        <v>6676518</v>
      </c>
      <c r="I110" s="10"/>
      <c r="J110" s="10">
        <f t="shared" si="22"/>
        <v>490599</v>
      </c>
      <c r="K110" s="3"/>
      <c r="L110" s="10">
        <f t="shared" si="23"/>
        <v>265000</v>
      </c>
      <c r="M110" s="10">
        <f t="shared" si="23"/>
        <v>225599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x14ac:dyDescent="0.25">
      <c r="A111" s="3"/>
      <c r="B111" s="3"/>
      <c r="C111" s="3">
        <f t="shared" si="24"/>
        <v>5</v>
      </c>
      <c r="D111" s="3">
        <f t="shared" si="24"/>
        <v>2025</v>
      </c>
      <c r="E111" s="10">
        <f t="shared" si="20"/>
        <v>6676518</v>
      </c>
      <c r="F111" s="10">
        <v>268000</v>
      </c>
      <c r="G111" s="10">
        <f t="shared" si="19"/>
        <v>216987</v>
      </c>
      <c r="H111" s="10">
        <f t="shared" si="21"/>
        <v>6408518</v>
      </c>
      <c r="I111" s="10"/>
      <c r="J111" s="10">
        <f t="shared" si="22"/>
        <v>484987</v>
      </c>
      <c r="K111" s="3"/>
      <c r="L111" s="10">
        <f t="shared" si="23"/>
        <v>268000</v>
      </c>
      <c r="M111" s="10">
        <f t="shared" si="23"/>
        <v>216987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x14ac:dyDescent="0.25">
      <c r="A112" s="3"/>
      <c r="B112" s="3"/>
      <c r="C112" s="3">
        <f t="shared" si="24"/>
        <v>6</v>
      </c>
      <c r="D112" s="3">
        <f t="shared" si="24"/>
        <v>2026</v>
      </c>
      <c r="E112" s="10">
        <f t="shared" si="20"/>
        <v>6408518</v>
      </c>
      <c r="F112" s="10">
        <v>268000</v>
      </c>
      <c r="G112" s="10">
        <f t="shared" si="19"/>
        <v>208277</v>
      </c>
      <c r="H112" s="10">
        <f t="shared" si="21"/>
        <v>6140518</v>
      </c>
      <c r="I112" s="10"/>
      <c r="J112" s="10">
        <f t="shared" si="22"/>
        <v>476277</v>
      </c>
      <c r="K112" s="3"/>
      <c r="L112" s="10">
        <f t="shared" si="23"/>
        <v>268000</v>
      </c>
      <c r="M112" s="10">
        <f t="shared" si="23"/>
        <v>208277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x14ac:dyDescent="0.25">
      <c r="A113" s="3"/>
      <c r="B113" s="3"/>
      <c r="C113" s="91">
        <f t="shared" si="24"/>
        <v>7</v>
      </c>
      <c r="D113" s="91">
        <f t="shared" si="24"/>
        <v>2027</v>
      </c>
      <c r="E113" s="92">
        <f t="shared" si="20"/>
        <v>6140518</v>
      </c>
      <c r="F113" s="92">
        <v>270000</v>
      </c>
      <c r="G113" s="92">
        <f t="shared" si="19"/>
        <v>199567</v>
      </c>
      <c r="H113" s="92">
        <f t="shared" si="21"/>
        <v>5870518</v>
      </c>
      <c r="I113" s="92"/>
      <c r="J113" s="92">
        <f t="shared" si="22"/>
        <v>469567</v>
      </c>
      <c r="K113" s="91"/>
      <c r="L113" s="10"/>
      <c r="M113" s="10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x14ac:dyDescent="0.25">
      <c r="A114" s="3"/>
      <c r="B114" s="3"/>
      <c r="C114" s="93">
        <f t="shared" si="24"/>
        <v>8</v>
      </c>
      <c r="D114" s="93">
        <f t="shared" si="24"/>
        <v>2028</v>
      </c>
      <c r="E114" s="47">
        <f t="shared" si="20"/>
        <v>5870518</v>
      </c>
      <c r="F114" s="47">
        <v>272500</v>
      </c>
      <c r="G114" s="47">
        <f t="shared" si="19"/>
        <v>190792</v>
      </c>
      <c r="H114" s="47">
        <f t="shared" si="21"/>
        <v>5598018</v>
      </c>
      <c r="I114" s="47"/>
      <c r="J114" s="47">
        <f t="shared" si="22"/>
        <v>463292</v>
      </c>
      <c r="K114" s="93"/>
      <c r="L114" s="10"/>
      <c r="M114" s="10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x14ac:dyDescent="0.25">
      <c r="A115" s="3"/>
      <c r="B115" s="3"/>
      <c r="C115" s="93">
        <f t="shared" si="24"/>
        <v>9</v>
      </c>
      <c r="D115" s="93">
        <f t="shared" si="24"/>
        <v>2029</v>
      </c>
      <c r="E115" s="47">
        <f t="shared" si="20"/>
        <v>5598018</v>
      </c>
      <c r="F115" s="47">
        <v>275000</v>
      </c>
      <c r="G115" s="47">
        <f t="shared" si="19"/>
        <v>181936</v>
      </c>
      <c r="H115" s="47">
        <f t="shared" si="21"/>
        <v>5323018</v>
      </c>
      <c r="I115" s="47"/>
      <c r="J115" s="47">
        <f t="shared" si="22"/>
        <v>456936</v>
      </c>
      <c r="K115" s="93"/>
      <c r="L115" s="10">
        <f>SUM(F113:F117)</f>
        <v>1376000</v>
      </c>
      <c r="M115" s="10">
        <f>SUM(G113:G117)</f>
        <v>909240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x14ac:dyDescent="0.25">
      <c r="A116" s="3"/>
      <c r="B116" s="3"/>
      <c r="C116" s="93">
        <f t="shared" si="24"/>
        <v>10</v>
      </c>
      <c r="D116" s="93">
        <f t="shared" si="24"/>
        <v>2030</v>
      </c>
      <c r="E116" s="47">
        <f t="shared" si="20"/>
        <v>5323018</v>
      </c>
      <c r="F116" s="47">
        <f t="shared" ref="F116" si="25">+F115+3500</f>
        <v>278500</v>
      </c>
      <c r="G116" s="47">
        <f t="shared" si="19"/>
        <v>172998</v>
      </c>
      <c r="H116" s="47">
        <f t="shared" si="21"/>
        <v>5044518</v>
      </c>
      <c r="I116" s="47"/>
      <c r="J116" s="47">
        <f t="shared" si="22"/>
        <v>451498</v>
      </c>
      <c r="K116" s="93"/>
      <c r="L116" s="10"/>
      <c r="M116" s="10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x14ac:dyDescent="0.25">
      <c r="A117" s="3"/>
      <c r="B117" s="3"/>
      <c r="C117" s="94">
        <f t="shared" si="24"/>
        <v>11</v>
      </c>
      <c r="D117" s="94">
        <f t="shared" si="24"/>
        <v>2031</v>
      </c>
      <c r="E117" s="95">
        <f t="shared" si="20"/>
        <v>5044518</v>
      </c>
      <c r="F117" s="95">
        <v>280000</v>
      </c>
      <c r="G117" s="95">
        <f t="shared" si="19"/>
        <v>163947</v>
      </c>
      <c r="H117" s="95">
        <f t="shared" si="21"/>
        <v>4764518</v>
      </c>
      <c r="I117" s="95"/>
      <c r="J117" s="95">
        <f t="shared" si="22"/>
        <v>443947</v>
      </c>
      <c r="K117" s="94"/>
      <c r="L117" s="10"/>
      <c r="M117" s="10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x14ac:dyDescent="0.25">
      <c r="A118" s="3"/>
      <c r="B118" s="3"/>
      <c r="C118" s="3">
        <f t="shared" si="24"/>
        <v>12</v>
      </c>
      <c r="D118" s="3">
        <f t="shared" si="24"/>
        <v>2032</v>
      </c>
      <c r="E118" s="10">
        <f t="shared" si="20"/>
        <v>4764518</v>
      </c>
      <c r="F118" s="10">
        <v>282500</v>
      </c>
      <c r="G118" s="10">
        <f t="shared" si="19"/>
        <v>154847</v>
      </c>
      <c r="H118" s="10">
        <f t="shared" si="21"/>
        <v>4482018</v>
      </c>
      <c r="I118" s="10"/>
      <c r="J118" s="10">
        <f t="shared" si="22"/>
        <v>437347</v>
      </c>
      <c r="K118" s="3"/>
      <c r="L118" s="10"/>
      <c r="M118" s="10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x14ac:dyDescent="0.25">
      <c r="A119" s="3"/>
      <c r="B119" s="3"/>
      <c r="C119" s="3">
        <f t="shared" si="24"/>
        <v>13</v>
      </c>
      <c r="D119" s="3">
        <f t="shared" si="24"/>
        <v>2033</v>
      </c>
      <c r="E119" s="10">
        <f t="shared" si="20"/>
        <v>4482018</v>
      </c>
      <c r="F119" s="10">
        <v>290000</v>
      </c>
      <c r="G119" s="10">
        <f t="shared" si="19"/>
        <v>145666</v>
      </c>
      <c r="H119" s="10">
        <f t="shared" si="21"/>
        <v>4192018</v>
      </c>
      <c r="I119" s="10"/>
      <c r="J119" s="10">
        <f t="shared" si="22"/>
        <v>435666</v>
      </c>
      <c r="K119" s="3"/>
      <c r="L119" s="10"/>
      <c r="M119" s="10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x14ac:dyDescent="0.25">
      <c r="A120" s="3"/>
      <c r="B120" s="3"/>
      <c r="C120" s="3">
        <f t="shared" si="24"/>
        <v>14</v>
      </c>
      <c r="D120" s="3">
        <f t="shared" si="24"/>
        <v>2034</v>
      </c>
      <c r="E120" s="10">
        <f t="shared" si="20"/>
        <v>4192018</v>
      </c>
      <c r="F120" s="10">
        <v>295000</v>
      </c>
      <c r="G120" s="10">
        <f t="shared" si="19"/>
        <v>136241</v>
      </c>
      <c r="H120" s="10">
        <f t="shared" si="21"/>
        <v>3897018</v>
      </c>
      <c r="I120" s="10"/>
      <c r="J120" s="10">
        <f t="shared" si="22"/>
        <v>431241</v>
      </c>
      <c r="K120" s="3"/>
      <c r="L120" s="10">
        <f>SUM(F118:F122)</f>
        <v>1482500</v>
      </c>
      <c r="M120" s="10">
        <f>SUM(G118:G122)</f>
        <v>680148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x14ac:dyDescent="0.25">
      <c r="A121" s="3"/>
      <c r="B121" s="3"/>
      <c r="C121" s="3">
        <f t="shared" si="24"/>
        <v>15</v>
      </c>
      <c r="D121" s="3">
        <f t="shared" si="24"/>
        <v>2035</v>
      </c>
      <c r="E121" s="10">
        <f t="shared" si="20"/>
        <v>3897018</v>
      </c>
      <c r="F121" s="10">
        <v>305000</v>
      </c>
      <c r="G121" s="10">
        <f t="shared" si="19"/>
        <v>126653</v>
      </c>
      <c r="H121" s="10">
        <f t="shared" si="21"/>
        <v>3592018</v>
      </c>
      <c r="I121" s="10"/>
      <c r="J121" s="10">
        <f t="shared" si="22"/>
        <v>431653</v>
      </c>
      <c r="K121" s="3"/>
      <c r="L121" s="10"/>
      <c r="M121" s="10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x14ac:dyDescent="0.25">
      <c r="A122" s="3"/>
      <c r="B122" s="3"/>
      <c r="C122" s="3">
        <f t="shared" si="24"/>
        <v>16</v>
      </c>
      <c r="D122" s="3">
        <f t="shared" si="24"/>
        <v>2036</v>
      </c>
      <c r="E122" s="10">
        <f t="shared" si="20"/>
        <v>3592018</v>
      </c>
      <c r="F122" s="10">
        <v>310000</v>
      </c>
      <c r="G122" s="10">
        <f t="shared" si="19"/>
        <v>116741</v>
      </c>
      <c r="H122" s="10">
        <f t="shared" si="21"/>
        <v>3282018</v>
      </c>
      <c r="I122" s="10"/>
      <c r="J122" s="10">
        <f t="shared" si="22"/>
        <v>426741</v>
      </c>
      <c r="K122" s="3"/>
      <c r="L122" s="10"/>
      <c r="M122" s="10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x14ac:dyDescent="0.25">
      <c r="A123" s="3"/>
      <c r="B123" s="3"/>
      <c r="C123" s="91">
        <f t="shared" si="24"/>
        <v>17</v>
      </c>
      <c r="D123" s="91">
        <f t="shared" si="24"/>
        <v>2037</v>
      </c>
      <c r="E123" s="92">
        <f t="shared" si="20"/>
        <v>3282018</v>
      </c>
      <c r="F123" s="92">
        <v>315000</v>
      </c>
      <c r="G123" s="92">
        <f t="shared" si="19"/>
        <v>106666</v>
      </c>
      <c r="H123" s="92">
        <f t="shared" si="21"/>
        <v>2967018</v>
      </c>
      <c r="I123" s="92"/>
      <c r="J123" s="92">
        <f t="shared" si="22"/>
        <v>421666</v>
      </c>
      <c r="K123" s="91"/>
      <c r="L123" s="10"/>
      <c r="M123" s="10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x14ac:dyDescent="0.25">
      <c r="A124" s="3"/>
      <c r="B124" s="3"/>
      <c r="C124" s="93">
        <f t="shared" si="24"/>
        <v>18</v>
      </c>
      <c r="D124" s="93">
        <f t="shared" si="24"/>
        <v>2038</v>
      </c>
      <c r="E124" s="47">
        <f t="shared" si="20"/>
        <v>2967018</v>
      </c>
      <c r="F124" s="47">
        <v>320000</v>
      </c>
      <c r="G124" s="47">
        <f t="shared" si="19"/>
        <v>96428</v>
      </c>
      <c r="H124" s="47">
        <f t="shared" si="21"/>
        <v>2647018</v>
      </c>
      <c r="I124" s="47"/>
      <c r="J124" s="47">
        <f t="shared" si="22"/>
        <v>416428</v>
      </c>
      <c r="K124" s="93"/>
      <c r="L124" s="10"/>
      <c r="M124" s="10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x14ac:dyDescent="0.25">
      <c r="A125" s="3"/>
      <c r="B125" s="3"/>
      <c r="C125" s="93">
        <f t="shared" ref="C125:D131" si="26">C124+1</f>
        <v>19</v>
      </c>
      <c r="D125" s="93">
        <f t="shared" si="26"/>
        <v>2039</v>
      </c>
      <c r="E125" s="47">
        <f t="shared" si="20"/>
        <v>2647018</v>
      </c>
      <c r="F125" s="47">
        <f>+F124+20000</f>
        <v>340000</v>
      </c>
      <c r="G125" s="47">
        <f t="shared" si="19"/>
        <v>86028</v>
      </c>
      <c r="H125" s="47">
        <f t="shared" si="21"/>
        <v>2307018</v>
      </c>
      <c r="I125" s="47"/>
      <c r="J125" s="47">
        <f t="shared" si="22"/>
        <v>426028</v>
      </c>
      <c r="K125" s="93"/>
      <c r="L125" s="10">
        <f>+SUM(F123:F127)</f>
        <v>1699000</v>
      </c>
      <c r="M125" s="10">
        <f>+SUM(G123:G127)</f>
        <v>427573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x14ac:dyDescent="0.25">
      <c r="A126" s="3"/>
      <c r="B126" s="3"/>
      <c r="C126" s="93">
        <f t="shared" si="26"/>
        <v>20</v>
      </c>
      <c r="D126" s="93">
        <f t="shared" si="26"/>
        <v>2040</v>
      </c>
      <c r="E126" s="47">
        <f t="shared" si="20"/>
        <v>2307018</v>
      </c>
      <c r="F126" s="47">
        <v>354000</v>
      </c>
      <c r="G126" s="47">
        <f t="shared" si="19"/>
        <v>74978</v>
      </c>
      <c r="H126" s="47">
        <f t="shared" si="21"/>
        <v>1953018</v>
      </c>
      <c r="I126" s="47"/>
      <c r="J126" s="47">
        <f t="shared" si="22"/>
        <v>428978</v>
      </c>
      <c r="K126" s="93"/>
      <c r="L126" s="10"/>
      <c r="M126" s="10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x14ac:dyDescent="0.25">
      <c r="A127" s="3"/>
      <c r="B127" s="3"/>
      <c r="C127" s="94">
        <f t="shared" si="26"/>
        <v>21</v>
      </c>
      <c r="D127" s="94">
        <f t="shared" si="26"/>
        <v>2041</v>
      </c>
      <c r="E127" s="95">
        <f t="shared" si="20"/>
        <v>1953018</v>
      </c>
      <c r="F127" s="95">
        <f>+F126+16000</f>
        <v>370000</v>
      </c>
      <c r="G127" s="95">
        <f t="shared" si="19"/>
        <v>63473</v>
      </c>
      <c r="H127" s="95">
        <f t="shared" si="21"/>
        <v>1583018</v>
      </c>
      <c r="I127" s="95"/>
      <c r="J127" s="95">
        <f t="shared" si="22"/>
        <v>433473</v>
      </c>
      <c r="K127" s="94"/>
      <c r="L127" s="10"/>
      <c r="M127" s="10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x14ac:dyDescent="0.25">
      <c r="A128" s="3"/>
      <c r="B128" s="3"/>
      <c r="C128" s="3">
        <f t="shared" si="26"/>
        <v>22</v>
      </c>
      <c r="D128" s="3">
        <f t="shared" si="26"/>
        <v>2042</v>
      </c>
      <c r="E128" s="10">
        <f t="shared" si="20"/>
        <v>1583018</v>
      </c>
      <c r="F128" s="10">
        <f>+F127+30000</f>
        <v>400000</v>
      </c>
      <c r="G128" s="10">
        <f t="shared" si="19"/>
        <v>51448</v>
      </c>
      <c r="H128" s="10">
        <f t="shared" si="21"/>
        <v>1183018</v>
      </c>
      <c r="I128" s="10"/>
      <c r="J128" s="10">
        <f t="shared" si="22"/>
        <v>451448</v>
      </c>
      <c r="K128" s="3"/>
      <c r="L128" s="10"/>
      <c r="M128" s="10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x14ac:dyDescent="0.25">
      <c r="A129" s="3"/>
      <c r="B129" s="3"/>
      <c r="C129" s="3">
        <f t="shared" si="26"/>
        <v>23</v>
      </c>
      <c r="D129" s="3">
        <f t="shared" si="26"/>
        <v>2043</v>
      </c>
      <c r="E129" s="10">
        <f t="shared" si="20"/>
        <v>1183018</v>
      </c>
      <c r="F129" s="10">
        <v>400000</v>
      </c>
      <c r="G129" s="10">
        <f t="shared" si="19"/>
        <v>38448</v>
      </c>
      <c r="H129" s="10">
        <f t="shared" si="21"/>
        <v>783018</v>
      </c>
      <c r="I129" s="10"/>
      <c r="J129" s="10">
        <f t="shared" si="22"/>
        <v>438448</v>
      </c>
      <c r="K129" s="3"/>
      <c r="L129" s="10">
        <f>SUM(F128:F131)</f>
        <v>1583018</v>
      </c>
      <c r="M129" s="10">
        <f>SUM(G128:G131)</f>
        <v>115344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x14ac:dyDescent="0.25">
      <c r="A130" s="3"/>
      <c r="B130" s="3"/>
      <c r="C130" s="3">
        <f t="shared" si="26"/>
        <v>24</v>
      </c>
      <c r="D130" s="3">
        <f t="shared" si="26"/>
        <v>2044</v>
      </c>
      <c r="E130" s="10">
        <f t="shared" si="20"/>
        <v>783018</v>
      </c>
      <c r="F130" s="10">
        <v>400000</v>
      </c>
      <c r="G130" s="10">
        <f t="shared" si="19"/>
        <v>25448</v>
      </c>
      <c r="H130" s="10">
        <f>H129-F130</f>
        <v>383018</v>
      </c>
      <c r="I130" s="10"/>
      <c r="J130" s="10">
        <f t="shared" si="22"/>
        <v>425448</v>
      </c>
      <c r="K130" s="3"/>
      <c r="L130" s="10"/>
      <c r="M130" s="10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x14ac:dyDescent="0.25">
      <c r="A131" s="3"/>
      <c r="B131" s="3"/>
      <c r="C131" s="94">
        <f t="shared" si="26"/>
        <v>25</v>
      </c>
      <c r="D131" s="94">
        <f t="shared" si="26"/>
        <v>2045</v>
      </c>
      <c r="E131" s="95">
        <f t="shared" si="20"/>
        <v>383018</v>
      </c>
      <c r="F131" s="95">
        <f>400000-16982</f>
        <v>383018</v>
      </c>
      <c r="G131" s="95">
        <v>0</v>
      </c>
      <c r="H131" s="95">
        <f t="shared" si="21"/>
        <v>0</v>
      </c>
      <c r="I131" s="95"/>
      <c r="J131" s="95">
        <f t="shared" si="22"/>
        <v>383018</v>
      </c>
      <c r="K131" s="94"/>
      <c r="L131" s="10"/>
      <c r="M131" s="10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20.25" x14ac:dyDescent="0.55000000000000004">
      <c r="A132" s="3"/>
      <c r="B132" s="3"/>
      <c r="C132" s="3"/>
      <c r="D132" s="3"/>
      <c r="E132" s="10"/>
      <c r="F132" s="10"/>
      <c r="G132" s="10"/>
      <c r="H132" s="10"/>
      <c r="I132" s="10"/>
      <c r="J132" s="10"/>
      <c r="K132" s="3"/>
      <c r="L132" s="10"/>
      <c r="M132" s="10"/>
      <c r="N132" s="107" t="s">
        <v>251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7.25" x14ac:dyDescent="0.35">
      <c r="A133" s="3"/>
      <c r="B133" s="3"/>
      <c r="C133" s="3"/>
      <c r="D133" s="3" t="s">
        <v>95</v>
      </c>
      <c r="E133" s="10"/>
      <c r="F133" s="50">
        <f>+SUM(F105:F131)</f>
        <v>7491518</v>
      </c>
      <c r="G133" s="50">
        <f>+SUM(G105:G131)</f>
        <v>3734315</v>
      </c>
      <c r="H133" s="10"/>
      <c r="I133" s="10"/>
      <c r="J133" s="10"/>
      <c r="K133" s="26" t="s">
        <v>96</v>
      </c>
      <c r="L133" s="10">
        <f>+SUM(L107:L132)</f>
        <v>7271518</v>
      </c>
      <c r="M133" s="10">
        <f>+SUM(M107:M132)</f>
        <v>3250454</v>
      </c>
      <c r="N133" s="50">
        <f>+L133+M133</f>
        <v>10521972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7.25" x14ac:dyDescent="0.35">
      <c r="A134" s="3"/>
      <c r="B134" s="3"/>
      <c r="C134" s="3"/>
      <c r="D134" s="3"/>
      <c r="E134" s="10"/>
      <c r="F134" s="10"/>
      <c r="G134" s="10"/>
      <c r="H134" s="10"/>
      <c r="I134" s="10"/>
      <c r="J134" s="10"/>
      <c r="K134" s="3" t="s">
        <v>93</v>
      </c>
      <c r="L134" s="11">
        <f>F107</f>
        <v>125000</v>
      </c>
      <c r="M134" s="11">
        <f>G107+G105</f>
        <v>483861</v>
      </c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x14ac:dyDescent="0.25">
      <c r="A135" s="3"/>
      <c r="B135" s="3"/>
      <c r="C135" s="3"/>
      <c r="D135" s="3"/>
      <c r="E135" s="45"/>
      <c r="F135" s="45"/>
      <c r="G135" s="45"/>
      <c r="H135" s="45"/>
      <c r="I135" s="3"/>
      <c r="J135" s="3"/>
      <c r="K135" s="3" t="s">
        <v>94</v>
      </c>
      <c r="L135" s="10">
        <f>+L133+L134</f>
        <v>7396518</v>
      </c>
      <c r="M135" s="10">
        <f>+M133+M134</f>
        <v>3734315</v>
      </c>
      <c r="N135" s="3" t="s">
        <v>97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10"/>
      <c r="M136" s="10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 t="s">
        <v>177</v>
      </c>
      <c r="L138" s="10">
        <f>+L133-F107</f>
        <v>7146518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</row>
    <row r="233" spans="1:5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</row>
    <row r="234" spans="1:5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</row>
    <row r="235" spans="1:5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</row>
    <row r="236" spans="1:5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</row>
    <row r="237" spans="1:5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</row>
    <row r="238" spans="1:5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</row>
    <row r="239" spans="1:5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</row>
    <row r="240" spans="1:5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</row>
    <row r="241" spans="1:5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</row>
    <row r="242" spans="1:5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</row>
    <row r="243" spans="1:5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</row>
    <row r="244" spans="1:5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</row>
    <row r="245" spans="1:5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</row>
    <row r="246" spans="1:5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</row>
    <row r="247" spans="1:5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</row>
    <row r="248" spans="1:5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</row>
    <row r="249" spans="1:5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</row>
    <row r="250" spans="1:5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</row>
    <row r="251" spans="1:5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</row>
    <row r="252" spans="1:5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</row>
    <row r="253" spans="1:5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</row>
    <row r="254" spans="1:5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</row>
    <row r="255" spans="1:5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</row>
    <row r="256" spans="1:5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</row>
    <row r="257" spans="1:5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</row>
    <row r="258" spans="1:5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</row>
    <row r="259" spans="1:5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</row>
    <row r="260" spans="1:5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</row>
    <row r="261" spans="1:5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</row>
    <row r="262" spans="1:5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</row>
    <row r="263" spans="1:5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</row>
    <row r="264" spans="1:5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</row>
    <row r="265" spans="1:5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</row>
    <row r="266" spans="1:5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</row>
    <row r="267" spans="1:5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</row>
    <row r="268" spans="1:5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</row>
    <row r="269" spans="1:5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</row>
    <row r="270" spans="1:5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</row>
    <row r="271" spans="1:5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</row>
    <row r="272" spans="1:5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</row>
    <row r="273" spans="1:5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</row>
    <row r="274" spans="1:5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</row>
    <row r="275" spans="1:5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</row>
    <row r="276" spans="1:5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</row>
    <row r="277" spans="1:5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</row>
    <row r="278" spans="1:5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</row>
    <row r="279" spans="1:5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</row>
    <row r="280" spans="1:5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</row>
    <row r="281" spans="1:5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</row>
    <row r="282" spans="1:5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</row>
    <row r="283" spans="1:5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</row>
    <row r="284" spans="1:5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</row>
    <row r="285" spans="1:5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</row>
    <row r="286" spans="1:5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</row>
    <row r="287" spans="1:5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</row>
    <row r="288" spans="1:5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</row>
    <row r="289" spans="1:5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</row>
    <row r="290" spans="1:5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</row>
    <row r="291" spans="1:5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</row>
    <row r="292" spans="1:5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</row>
    <row r="293" spans="1:5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</row>
    <row r="294" spans="1:5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</row>
    <row r="295" spans="1:5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</row>
    <row r="296" spans="1:5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</row>
    <row r="297" spans="1:5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</row>
    <row r="298" spans="1:5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</row>
    <row r="299" spans="1:5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</row>
    <row r="300" spans="1:5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</row>
    <row r="301" spans="1:5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</row>
    <row r="302" spans="1:5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</row>
    <row r="303" spans="1:5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</row>
    <row r="304" spans="1:5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</row>
    <row r="305" spans="1:5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</row>
    <row r="306" spans="1:5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</row>
    <row r="307" spans="1:5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</row>
    <row r="308" spans="1:5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</row>
    <row r="309" spans="1:5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</row>
    <row r="310" spans="1:5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</row>
    <row r="311" spans="1:5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</row>
    <row r="312" spans="1:5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</row>
    <row r="313" spans="1:5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</row>
    <row r="314" spans="1:5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</row>
    <row r="315" spans="1:5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</row>
    <row r="316" spans="1:5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</row>
    <row r="317" spans="1:5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</row>
    <row r="318" spans="1:5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</row>
    <row r="319" spans="1:5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</row>
    <row r="320" spans="1:5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</row>
    <row r="321" spans="1:5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</row>
    <row r="322" spans="1:5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</row>
    <row r="323" spans="1:5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</row>
    <row r="324" spans="1:5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</row>
    <row r="325" spans="1:5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</row>
    <row r="326" spans="1:5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</row>
    <row r="327" spans="1:5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</row>
    <row r="328" spans="1:5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</row>
    <row r="329" spans="1:5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</row>
    <row r="330" spans="1:5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</row>
  </sheetData>
  <mergeCells count="12">
    <mergeCell ref="C35:F35"/>
    <mergeCell ref="C71:E71"/>
    <mergeCell ref="P96:Q96"/>
    <mergeCell ref="S4:T4"/>
    <mergeCell ref="U4:V4"/>
    <mergeCell ref="N5:N6"/>
    <mergeCell ref="V21:W23"/>
    <mergeCell ref="S3:T3"/>
    <mergeCell ref="U3:V3"/>
    <mergeCell ref="W3:X3"/>
    <mergeCell ref="W4:X4"/>
    <mergeCell ref="P95:Q95"/>
  </mergeCells>
  <pageMargins left="0.7" right="0.7" top="0.75" bottom="0.75" header="0.3" footer="0.3"/>
  <pageSetup orientation="portrait" r:id="rId1"/>
  <ignoredErrors>
    <ignoredError sqref="C45:E4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CD314"/>
  <sheetViews>
    <sheetView showGridLines="0" workbookViewId="0">
      <selection activeCell="C3" sqref="C3"/>
    </sheetView>
  </sheetViews>
  <sheetFormatPr defaultRowHeight="15.75" x14ac:dyDescent="0.25"/>
  <cols>
    <col min="2" max="2" width="1.625" customWidth="1"/>
    <col min="3" max="3" width="38.5" customWidth="1"/>
    <col min="4" max="4" width="12.625" customWidth="1"/>
    <col min="7" max="7" width="22.625" customWidth="1"/>
    <col min="8" max="8" width="12.625" customWidth="1"/>
    <col min="11" max="11" width="48.625" customWidth="1"/>
    <col min="12" max="12" width="12.625" customWidth="1"/>
  </cols>
  <sheetData>
    <row r="1" spans="1:82" x14ac:dyDescent="0.25">
      <c r="B1" s="160" t="str">
        <f>'For MD&amp;A'!A1</f>
        <v>Owl Charter, Inc.</v>
      </c>
      <c r="C1" s="16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spans="1:8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26" t="s">
        <v>89</v>
      </c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spans="1:8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</row>
    <row r="5" spans="1:82" ht="30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96" t="s">
        <v>240</v>
      </c>
      <c r="L5" s="97">
        <v>8000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</row>
    <row r="6" spans="1:8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1:8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1:8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</row>
    <row r="9" spans="1:8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</row>
    <row r="10" spans="1:8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</row>
    <row r="11" spans="1:82" x14ac:dyDescent="0.25">
      <c r="A11" s="3"/>
      <c r="B11" s="26" t="s">
        <v>80</v>
      </c>
      <c r="C11" s="26"/>
      <c r="D11" s="3"/>
      <c r="E11" s="3"/>
      <c r="F11" s="3"/>
      <c r="G11" s="26" t="s">
        <v>88</v>
      </c>
      <c r="H11" s="26"/>
      <c r="I11" s="3"/>
      <c r="J11" s="3"/>
      <c r="K11" s="3"/>
      <c r="L11" s="56"/>
      <c r="M11" s="56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</row>
    <row r="12" spans="1:8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82" ht="17.25" x14ac:dyDescent="0.35">
      <c r="A13" s="3"/>
      <c r="B13" s="3" t="s">
        <v>74</v>
      </c>
      <c r="C13" s="3"/>
      <c r="D13" s="8">
        <v>746992</v>
      </c>
      <c r="E13" s="3"/>
      <c r="F13" s="3"/>
      <c r="G13" s="43" t="s">
        <v>83</v>
      </c>
      <c r="H13" s="43" t="s">
        <v>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14" spans="1:82" x14ac:dyDescent="0.25">
      <c r="A14" s="3"/>
      <c r="B14" s="3" t="s">
        <v>78</v>
      </c>
      <c r="C14" s="3"/>
      <c r="D14" s="8"/>
      <c r="E14" s="3"/>
      <c r="F14" s="3"/>
      <c r="G14" s="3" t="s">
        <v>81</v>
      </c>
      <c r="H14" s="8">
        <v>10450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</row>
    <row r="15" spans="1:82" x14ac:dyDescent="0.25">
      <c r="A15" s="3"/>
      <c r="B15" s="3"/>
      <c r="C15" s="3" t="s">
        <v>75</v>
      </c>
      <c r="D15" s="10">
        <v>825</v>
      </c>
      <c r="E15" s="3"/>
      <c r="F15" s="3"/>
      <c r="G15" s="3" t="s">
        <v>82</v>
      </c>
      <c r="H15" s="10">
        <v>3000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</row>
    <row r="16" spans="1:82" ht="17.25" x14ac:dyDescent="0.35">
      <c r="A16" s="3"/>
      <c r="B16" s="3"/>
      <c r="C16" s="3" t="s">
        <v>76</v>
      </c>
      <c r="D16" s="11">
        <v>10849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</row>
    <row r="17" spans="1:82" ht="17.25" hidden="1" x14ac:dyDescent="0.35">
      <c r="A17" s="3"/>
      <c r="B17" s="3"/>
      <c r="C17" s="3" t="s">
        <v>77</v>
      </c>
      <c r="D17" s="11"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</row>
    <row r="18" spans="1:82" ht="17.25" x14ac:dyDescent="0.35">
      <c r="A18" s="3"/>
      <c r="B18" s="3"/>
      <c r="C18" s="58" t="s">
        <v>79</v>
      </c>
      <c r="D18" s="15">
        <f>D13-SUM(D15:D17)</f>
        <v>735318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</row>
    <row r="19" spans="1:8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</row>
    <row r="20" spans="1:8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</row>
    <row r="21" spans="1:8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</row>
    <row r="22" spans="1:8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</row>
    <row r="23" spans="1:82" x14ac:dyDescent="0.25">
      <c r="A23" s="3"/>
      <c r="B23" s="26" t="s">
        <v>84</v>
      </c>
      <c r="C23" s="2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</row>
    <row r="24" spans="1:8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</row>
    <row r="25" spans="1:82" x14ac:dyDescent="0.25">
      <c r="A25" s="3"/>
      <c r="B25" s="3"/>
      <c r="C25" s="3"/>
      <c r="D25" s="7" t="s">
        <v>86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</row>
    <row r="26" spans="1:82" ht="17.25" x14ac:dyDescent="0.35">
      <c r="A26" s="3"/>
      <c r="B26" s="131" t="s">
        <v>0</v>
      </c>
      <c r="C26" s="131"/>
      <c r="D26" s="43" t="s">
        <v>87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</row>
    <row r="27" spans="1:82" ht="17.25" x14ac:dyDescent="0.35">
      <c r="A27" s="3"/>
      <c r="B27" s="177" t="s">
        <v>85</v>
      </c>
      <c r="C27" s="177"/>
      <c r="D27" s="15">
        <v>1500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</row>
    <row r="28" spans="1:8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</row>
    <row r="29" spans="1:8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</row>
    <row r="30" spans="1:8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</row>
    <row r="31" spans="1:8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</row>
    <row r="32" spans="1:8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</row>
    <row r="33" spans="1:8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</row>
    <row r="34" spans="1:8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</row>
    <row r="35" spans="1:8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</row>
    <row r="36" spans="1:8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</row>
    <row r="37" spans="1:8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</row>
    <row r="38" spans="1:8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</row>
    <row r="39" spans="1:8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</row>
    <row r="40" spans="1:8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</row>
    <row r="41" spans="1:8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</row>
    <row r="42" spans="1:8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</row>
    <row r="43" spans="1:8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</row>
    <row r="44" spans="1:8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</row>
    <row r="45" spans="1:8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</row>
    <row r="46" spans="1:8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</row>
    <row r="47" spans="1:8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</row>
    <row r="48" spans="1:8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</row>
    <row r="49" spans="1:8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</row>
    <row r="50" spans="1:8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</row>
    <row r="51" spans="1:8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</row>
    <row r="52" spans="1:8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</row>
    <row r="53" spans="1:8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</row>
    <row r="54" spans="1:8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</row>
    <row r="55" spans="1:8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</row>
    <row r="56" spans="1:8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</row>
    <row r="57" spans="1:8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</row>
    <row r="58" spans="1:8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</row>
    <row r="59" spans="1:8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</row>
    <row r="60" spans="1:8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</row>
    <row r="61" spans="1:8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</row>
    <row r="62" spans="1:8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</row>
    <row r="63" spans="1:8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</row>
    <row r="64" spans="1:8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</row>
    <row r="65" spans="1:8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</row>
    <row r="66" spans="1:8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</row>
    <row r="67" spans="1:8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</row>
    <row r="68" spans="1:8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</row>
    <row r="69" spans="1:8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</row>
    <row r="70" spans="1:8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</row>
    <row r="71" spans="1:8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</row>
    <row r="72" spans="1:8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</row>
    <row r="73" spans="1:8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</row>
    <row r="74" spans="1:8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</row>
    <row r="75" spans="1:8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</row>
    <row r="76" spans="1:8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spans="1:8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</row>
    <row r="78" spans="1:8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1:8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</row>
    <row r="80" spans="1:8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1:8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</row>
    <row r="82" spans="1:8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spans="1:8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spans="1:8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spans="1:8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spans="1:8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spans="1:8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</row>
    <row r="88" spans="1:8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</row>
    <row r="89" spans="1:8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</row>
    <row r="90" spans="1:8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</row>
    <row r="91" spans="1:8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</row>
    <row r="92" spans="1:8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</row>
    <row r="93" spans="1:8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</row>
    <row r="94" spans="1:8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</row>
    <row r="95" spans="1:8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</row>
    <row r="96" spans="1:8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</row>
    <row r="97" spans="1:8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</row>
    <row r="98" spans="1:8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</row>
    <row r="99" spans="1:8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</row>
    <row r="100" spans="1:8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</row>
    <row r="101" spans="1:8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</row>
    <row r="102" spans="1:8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</row>
    <row r="103" spans="1:8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</row>
    <row r="104" spans="1:8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</row>
    <row r="105" spans="1:8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</row>
    <row r="106" spans="1:8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</row>
    <row r="107" spans="1:8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</row>
    <row r="108" spans="1:8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</row>
    <row r="109" spans="1:8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</row>
    <row r="110" spans="1:8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</row>
    <row r="111" spans="1:8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</row>
    <row r="112" spans="1:8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</row>
    <row r="113" spans="1:8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</row>
    <row r="114" spans="1:8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</row>
    <row r="115" spans="1:8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</row>
    <row r="116" spans="1:8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</row>
    <row r="117" spans="1:8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</row>
    <row r="118" spans="1:8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</row>
    <row r="119" spans="1:8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</row>
    <row r="120" spans="1:8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</row>
    <row r="121" spans="1:8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</row>
    <row r="122" spans="1:8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</row>
    <row r="123" spans="1:8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</row>
    <row r="124" spans="1:8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</row>
    <row r="125" spans="1:8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</row>
    <row r="126" spans="1:8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</row>
    <row r="127" spans="1:8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</row>
    <row r="128" spans="1:8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</row>
    <row r="129" spans="1:8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</row>
    <row r="130" spans="1:8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</row>
    <row r="131" spans="1:8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</row>
    <row r="132" spans="1:8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</row>
    <row r="133" spans="1:8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</row>
    <row r="134" spans="1:8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</row>
    <row r="135" spans="1:8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</row>
    <row r="136" spans="1:8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</row>
    <row r="137" spans="1:8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</row>
    <row r="138" spans="1:8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</row>
    <row r="139" spans="1:8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</row>
    <row r="140" spans="1:8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</row>
    <row r="141" spans="1:8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</row>
    <row r="142" spans="1:8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</row>
    <row r="143" spans="1:8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</row>
    <row r="144" spans="1:8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</row>
    <row r="145" spans="1:8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</row>
    <row r="146" spans="1:8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</row>
    <row r="147" spans="1:8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</row>
    <row r="148" spans="1:8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</row>
    <row r="149" spans="1:8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</row>
    <row r="150" spans="1:8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</row>
    <row r="151" spans="1:8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</row>
    <row r="152" spans="1:8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</row>
    <row r="153" spans="1:8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</row>
    <row r="154" spans="1:8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</row>
    <row r="155" spans="1:8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</row>
    <row r="156" spans="1:8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</row>
    <row r="157" spans="1:8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</row>
    <row r="158" spans="1:8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</row>
    <row r="159" spans="1:8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</row>
    <row r="160" spans="1:8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</row>
    <row r="161" spans="1:8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</row>
    <row r="162" spans="1:8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</row>
    <row r="163" spans="1:8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</row>
    <row r="164" spans="1:8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</row>
    <row r="165" spans="1:8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</row>
    <row r="166" spans="1:8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</row>
    <row r="167" spans="1:8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</row>
    <row r="168" spans="1:8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</row>
    <row r="169" spans="1:8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</row>
    <row r="170" spans="1:8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</row>
    <row r="171" spans="1:8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</row>
    <row r="172" spans="1:8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</row>
    <row r="173" spans="1:8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</row>
    <row r="174" spans="1:8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</row>
    <row r="175" spans="1:8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</row>
    <row r="176" spans="1:8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</row>
    <row r="177" spans="1:8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</row>
    <row r="178" spans="1:8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</row>
    <row r="179" spans="1:8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</row>
    <row r="180" spans="1:8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</row>
    <row r="181" spans="1:8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</row>
    <row r="182" spans="1:8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</row>
    <row r="183" spans="1:8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</row>
    <row r="184" spans="1:8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</row>
    <row r="185" spans="1:8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</row>
    <row r="186" spans="1:8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</row>
    <row r="187" spans="1:8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</row>
    <row r="188" spans="1:8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</row>
    <row r="189" spans="1:8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</row>
    <row r="190" spans="1:8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</row>
    <row r="191" spans="1:8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</row>
    <row r="192" spans="1:8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</row>
    <row r="193" spans="1:8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</row>
    <row r="194" spans="1:8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</row>
    <row r="195" spans="1:8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</row>
    <row r="196" spans="1:8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</row>
    <row r="197" spans="1:8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</row>
    <row r="198" spans="1:8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</row>
    <row r="199" spans="1:8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</row>
    <row r="200" spans="1:8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</row>
    <row r="201" spans="1:8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</row>
    <row r="202" spans="1:8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</row>
    <row r="203" spans="1:8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</row>
    <row r="204" spans="1:8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</row>
    <row r="205" spans="1:8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</row>
    <row r="206" spans="1:8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</row>
    <row r="207" spans="1:8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</row>
    <row r="208" spans="1:8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</row>
    <row r="209" spans="1:8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</row>
    <row r="210" spans="1:8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</row>
    <row r="211" spans="1:8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</row>
    <row r="212" spans="1:8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</row>
    <row r="213" spans="1:8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</row>
    <row r="214" spans="1:8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</row>
    <row r="215" spans="1:8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</row>
    <row r="216" spans="1:8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</row>
    <row r="217" spans="1:8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</row>
    <row r="218" spans="1:8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</row>
    <row r="219" spans="1:8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</row>
    <row r="220" spans="1:8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</row>
    <row r="221" spans="1:8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</row>
    <row r="222" spans="1:8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</row>
    <row r="223" spans="1:8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</row>
    <row r="224" spans="1:8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</row>
    <row r="225" spans="1:8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</row>
    <row r="226" spans="1:8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</row>
    <row r="227" spans="1:8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</row>
    <row r="228" spans="1:8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</row>
    <row r="229" spans="1:8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</row>
    <row r="230" spans="1:8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</row>
    <row r="231" spans="1:8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</row>
    <row r="232" spans="1:8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</row>
    <row r="233" spans="1:8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</row>
    <row r="234" spans="1:8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</row>
    <row r="235" spans="1:8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</row>
    <row r="236" spans="1:8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</row>
    <row r="237" spans="1:8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</row>
    <row r="238" spans="1:8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</row>
    <row r="239" spans="1:8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</row>
    <row r="240" spans="1:8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</row>
    <row r="241" spans="1:8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</row>
    <row r="242" spans="1:8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</row>
    <row r="243" spans="1:8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</row>
    <row r="244" spans="1:8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</row>
    <row r="245" spans="1:8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</row>
    <row r="246" spans="1:8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</row>
    <row r="247" spans="1:8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</row>
    <row r="248" spans="1:8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</row>
    <row r="249" spans="1:8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</row>
    <row r="250" spans="1:8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</row>
    <row r="251" spans="1:8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</row>
    <row r="252" spans="1:8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</row>
    <row r="253" spans="1:8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</row>
    <row r="254" spans="1:8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</row>
    <row r="255" spans="1:8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</row>
    <row r="256" spans="1:8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</row>
    <row r="257" spans="1:8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</row>
    <row r="258" spans="1:8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</row>
    <row r="259" spans="1:8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</row>
    <row r="260" spans="1:8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</row>
    <row r="261" spans="1:8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</row>
    <row r="262" spans="1:8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</row>
    <row r="263" spans="1:8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</row>
    <row r="264" spans="1:8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</row>
    <row r="265" spans="1:8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</row>
    <row r="266" spans="1:8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</row>
    <row r="267" spans="1:8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</row>
    <row r="268" spans="1:8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</row>
    <row r="269" spans="1:8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</row>
    <row r="270" spans="1:8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</row>
    <row r="271" spans="1:8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</row>
    <row r="272" spans="1:8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</row>
    <row r="273" spans="1:8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</row>
    <row r="274" spans="1:8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</row>
    <row r="275" spans="1:8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</row>
    <row r="276" spans="1:8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</row>
    <row r="277" spans="1:8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</row>
    <row r="278" spans="1:8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</row>
    <row r="279" spans="1:8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</row>
    <row r="280" spans="1:8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</row>
    <row r="281" spans="1:8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</row>
    <row r="282" spans="1:8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</row>
    <row r="283" spans="1:8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</row>
    <row r="284" spans="1:8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</row>
    <row r="285" spans="1:8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</row>
    <row r="286" spans="1:82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</row>
    <row r="287" spans="1:82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</row>
    <row r="288" spans="1:82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</row>
    <row r="289" spans="1:82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</row>
    <row r="290" spans="1:82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</row>
    <row r="291" spans="1:82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</row>
    <row r="292" spans="1:82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</row>
    <row r="293" spans="1:82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</row>
    <row r="294" spans="1:82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</row>
    <row r="295" spans="1:82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</row>
    <row r="296" spans="1:82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</row>
    <row r="297" spans="1:82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</row>
    <row r="298" spans="1:82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</row>
    <row r="299" spans="1:8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</row>
    <row r="300" spans="1:82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</row>
    <row r="301" spans="1:8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</row>
    <row r="302" spans="1:82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</row>
    <row r="303" spans="1:82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</row>
    <row r="304" spans="1:82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</row>
    <row r="305" spans="1:8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</row>
    <row r="306" spans="1:82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</row>
    <row r="307" spans="1:8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</row>
    <row r="308" spans="1:82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</row>
    <row r="309" spans="1:82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</row>
    <row r="310" spans="1:82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</row>
    <row r="311" spans="1:82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</row>
    <row r="312" spans="1:8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</row>
    <row r="313" spans="1:8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</row>
    <row r="314" spans="1:82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</row>
  </sheetData>
  <mergeCells count="3">
    <mergeCell ref="B26:C26"/>
    <mergeCell ref="B27:C27"/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45</vt:i4>
      </vt:variant>
    </vt:vector>
  </HeadingPairs>
  <TitlesOfParts>
    <vt:vector size="51" baseType="lpstr">
      <vt:lpstr>Table Index</vt:lpstr>
      <vt:lpstr>For MD&amp;A</vt:lpstr>
      <vt:lpstr>Govt Wide - Fund Recon</vt:lpstr>
      <vt:lpstr>Capital Assets</vt:lpstr>
      <vt:lpstr>Long-Term Obligations</vt:lpstr>
      <vt:lpstr>Other Tables</vt:lpstr>
      <vt:lpstr>Asset_Useful_Life_Table_I.E.4</vt:lpstr>
      <vt:lpstr>Bunn_Deprec_by_Program</vt:lpstr>
      <vt:lpstr>Bunn_Govt_Capital_Assets</vt:lpstr>
      <vt:lpstr>Capital_Lease_Table</vt:lpstr>
      <vt:lpstr>Cary_BTA_Capital_Assets</vt:lpstr>
      <vt:lpstr>Cary_Deprec_by_Program</vt:lpstr>
      <vt:lpstr>Cary_Govt_Cap_assets</vt:lpstr>
      <vt:lpstr>Depr_A_CC</vt:lpstr>
      <vt:lpstr>Depr_A_SFS</vt:lpstr>
      <vt:lpstr>Depr_B_CC</vt:lpstr>
      <vt:lpstr>Depr_B_SFS</vt:lpstr>
      <vt:lpstr>Depr_C_CC</vt:lpstr>
      <vt:lpstr>Depr_C_SFS</vt:lpstr>
      <vt:lpstr>Depr_Gov_by_Program</vt:lpstr>
      <vt:lpstr>Depreciation_by_Program_Table</vt:lpstr>
      <vt:lpstr>Discite_Govt_Capital_Assets</vt:lpstr>
      <vt:lpstr>Doceo_BTA_Cap_Assets</vt:lpstr>
      <vt:lpstr>Doceo_Depr_by_Prog</vt:lpstr>
      <vt:lpstr>Doceo_Gov_Cap_Asset</vt:lpstr>
      <vt:lpstr>Encumbrances_Note</vt:lpstr>
      <vt:lpstr>Erudio_BTA_CapitaL_Assets</vt:lpstr>
      <vt:lpstr>Erudio_CC_Assets</vt:lpstr>
      <vt:lpstr>Erudio_Gov_Cap_Assets</vt:lpstr>
      <vt:lpstr>Erudio_SFS_Cap_Assets</vt:lpstr>
      <vt:lpstr>Figure_2</vt:lpstr>
      <vt:lpstr>Figure_3</vt:lpstr>
      <vt:lpstr>Figure_4</vt:lpstr>
      <vt:lpstr>Figure_5</vt:lpstr>
      <vt:lpstr>Head_Cap_Assets_Schedule</vt:lpstr>
      <vt:lpstr>Interfund_Balance_Note</vt:lpstr>
      <vt:lpstr>LT_Debt_by_School</vt:lpstr>
      <vt:lpstr>Payment_by_School</vt:lpstr>
      <vt:lpstr>'Capital Assets'!Print_Area</vt:lpstr>
      <vt:lpstr>Remaining_Fund_Balance</vt:lpstr>
      <vt:lpstr>Table_BTA_Capital_Assets</vt:lpstr>
      <vt:lpstr>Table_Capital_Lease_Assets</vt:lpstr>
      <vt:lpstr>Table_Capital_Lease_Minimum_Pymts</vt:lpstr>
      <vt:lpstr>Table_Deferred_Inflows</vt:lpstr>
      <vt:lpstr>Table_Govt_Capital_Assets</vt:lpstr>
      <vt:lpstr>Table_I.E.9.a</vt:lpstr>
      <vt:lpstr>Table_I.E.9.b</vt:lpstr>
      <vt:lpstr>Table_Long_Term_Debt</vt:lpstr>
      <vt:lpstr>Table_Revenue_Bond_Amortization</vt:lpstr>
      <vt:lpstr>Table_Revenue_Bond_Covenant_Calc</vt:lpstr>
      <vt:lpstr>Total_business_type_capital_assets__net</vt:lpstr>
    </vt:vector>
  </TitlesOfParts>
  <Company>NCDST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Norris</dc:creator>
  <cp:lastModifiedBy>Jones Norris</cp:lastModifiedBy>
  <cp:lastPrinted>2019-01-24T00:18:53Z</cp:lastPrinted>
  <dcterms:created xsi:type="dcterms:W3CDTF">2018-06-06T20:19:31Z</dcterms:created>
  <dcterms:modified xsi:type="dcterms:W3CDTF">2020-08-04T18:35:24Z</dcterms:modified>
</cp:coreProperties>
</file>